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90" windowHeight="7455"/>
  </bookViews>
  <sheets>
    <sheet name="ЛКС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6" i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I31" l="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O50"/>
  <c r="O49"/>
  <c r="O33"/>
  <c r="O32"/>
  <c r="O31"/>
  <c r="O30"/>
  <c r="O29"/>
  <c r="O28"/>
  <c r="O27"/>
  <c r="O26"/>
  <c r="O25"/>
  <c r="O24"/>
  <c r="O23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J30"/>
  <c r="J29"/>
  <c r="F49"/>
  <c r="F50"/>
  <c r="G23"/>
  <c r="F23" s="1"/>
  <c r="G24"/>
  <c r="F24" s="1"/>
  <c r="G25"/>
  <c r="F25" s="1"/>
  <c r="G26"/>
  <c r="F26" s="1"/>
  <c r="G27"/>
  <c r="F27" s="1"/>
  <c r="G28"/>
  <c r="F28" s="1"/>
  <c r="G29"/>
  <c r="F29" s="1"/>
  <c r="G30"/>
  <c r="F30" s="1"/>
  <c r="G31"/>
  <c r="F31" s="1"/>
  <c r="G32"/>
  <c r="F32" s="1"/>
  <c r="G33"/>
  <c r="F33" s="1"/>
  <c r="G49"/>
  <c r="G50"/>
  <c r="B5" l="1"/>
  <c r="E5"/>
  <c r="H5" s="1"/>
  <c r="J5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B6"/>
  <c r="H6"/>
  <c r="O6" s="1"/>
  <c r="B7"/>
  <c r="H7"/>
  <c r="O7" s="1"/>
  <c r="B8"/>
  <c r="H8"/>
  <c r="O8" s="1"/>
  <c r="B9"/>
  <c r="H9"/>
  <c r="O9" s="1"/>
  <c r="B10"/>
  <c r="H10"/>
  <c r="O10" s="1"/>
  <c r="B11"/>
  <c r="H11"/>
  <c r="O11" s="1"/>
  <c r="B12"/>
  <c r="H12"/>
  <c r="O12" s="1"/>
  <c r="B13"/>
  <c r="H13"/>
  <c r="O13" s="1"/>
  <c r="B14"/>
  <c r="H14"/>
  <c r="O14" s="1"/>
  <c r="B15"/>
  <c r="H15"/>
  <c r="O15" s="1"/>
  <c r="B16"/>
  <c r="H16"/>
  <c r="O16" s="1"/>
  <c r="B17"/>
  <c r="H17"/>
  <c r="O17" s="1"/>
  <c r="H18"/>
  <c r="O18" s="1"/>
  <c r="B19"/>
  <c r="H19"/>
  <c r="O19" s="1"/>
  <c r="H20"/>
  <c r="O20" s="1"/>
  <c r="H21"/>
  <c r="O21" s="1"/>
  <c r="H22"/>
  <c r="O22" s="1"/>
  <c r="J23"/>
  <c r="J24"/>
  <c r="K24" s="1"/>
  <c r="N24" s="1"/>
  <c r="J25"/>
  <c r="J26"/>
  <c r="K26" s="1"/>
  <c r="N26"/>
  <c r="J27"/>
  <c r="J28"/>
  <c r="K28" s="1"/>
  <c r="N28" s="1"/>
  <c r="K30"/>
  <c r="N30" s="1"/>
  <c r="J31"/>
  <c r="J32"/>
  <c r="K32"/>
  <c r="N32" s="1"/>
  <c r="J33"/>
  <c r="K33" s="1"/>
  <c r="N33" s="1"/>
  <c r="H35"/>
  <c r="O35" s="1"/>
  <c r="H36"/>
  <c r="O36" s="1"/>
  <c r="B37"/>
  <c r="H37"/>
  <c r="O37" s="1"/>
  <c r="B38"/>
  <c r="H38"/>
  <c r="O38" s="1"/>
  <c r="B39"/>
  <c r="H39"/>
  <c r="O39" s="1"/>
  <c r="B40"/>
  <c r="H40"/>
  <c r="O40" s="1"/>
  <c r="B41"/>
  <c r="H41"/>
  <c r="O41" s="1"/>
  <c r="B42"/>
  <c r="H42"/>
  <c r="O42" s="1"/>
  <c r="B43"/>
  <c r="H43"/>
  <c r="O43" s="1"/>
  <c r="B44"/>
  <c r="H44"/>
  <c r="O44" s="1"/>
  <c r="B45"/>
  <c r="H45"/>
  <c r="O45" s="1"/>
  <c r="B46"/>
  <c r="H46"/>
  <c r="O46" s="1"/>
  <c r="B47"/>
  <c r="H47"/>
  <c r="O47" s="1"/>
  <c r="B48"/>
  <c r="H48"/>
  <c r="O48" s="1"/>
  <c r="B49"/>
  <c r="J49"/>
  <c r="K49" s="1"/>
  <c r="N49" s="1"/>
  <c r="B50"/>
  <c r="J50"/>
  <c r="K50"/>
  <c r="N50"/>
  <c r="G47" l="1"/>
  <c r="F47" s="1"/>
  <c r="G45"/>
  <c r="F45" s="1"/>
  <c r="G43"/>
  <c r="F43" s="1"/>
  <c r="G41"/>
  <c r="F41" s="1"/>
  <c r="G39"/>
  <c r="F39" s="1"/>
  <c r="G37"/>
  <c r="F37" s="1"/>
  <c r="J35"/>
  <c r="K35" s="1"/>
  <c r="G35"/>
  <c r="F35" s="1"/>
  <c r="G48"/>
  <c r="F48" s="1"/>
  <c r="G46"/>
  <c r="F46" s="1"/>
  <c r="G44"/>
  <c r="F44" s="1"/>
  <c r="G42"/>
  <c r="F42" s="1"/>
  <c r="J40"/>
  <c r="K40" s="1"/>
  <c r="G40"/>
  <c r="F40" s="1"/>
  <c r="G38"/>
  <c r="F38" s="1"/>
  <c r="J36"/>
  <c r="K36" s="1"/>
  <c r="G36"/>
  <c r="F36" s="1"/>
  <c r="J17"/>
  <c r="K17" s="1"/>
  <c r="N17" s="1"/>
  <c r="J22"/>
  <c r="K22" s="1"/>
  <c r="N22" s="1"/>
  <c r="G22"/>
  <c r="F22" s="1"/>
  <c r="J21"/>
  <c r="K21" s="1"/>
  <c r="G21"/>
  <c r="F21" s="1"/>
  <c r="J20"/>
  <c r="K20" s="1"/>
  <c r="G20"/>
  <c r="F20" s="1"/>
  <c r="G19"/>
  <c r="F19" s="1"/>
  <c r="G18"/>
  <c r="F18" s="1"/>
  <c r="G17"/>
  <c r="F17" s="1"/>
  <c r="J16"/>
  <c r="K16" s="1"/>
  <c r="G16"/>
  <c r="F16" s="1"/>
  <c r="J15"/>
  <c r="K15" s="1"/>
  <c r="G15"/>
  <c r="F15" s="1"/>
  <c r="G14"/>
  <c r="F14" s="1"/>
  <c r="G13"/>
  <c r="F13" s="1"/>
  <c r="J12"/>
  <c r="K12" s="1"/>
  <c r="G12"/>
  <c r="F12" s="1"/>
  <c r="J11"/>
  <c r="G11"/>
  <c r="F11" s="1"/>
  <c r="G10"/>
  <c r="F10" s="1"/>
  <c r="G9"/>
  <c r="F9" s="1"/>
  <c r="G8"/>
  <c r="F8" s="1"/>
  <c r="G7"/>
  <c r="F7" s="1"/>
  <c r="G6"/>
  <c r="F6" s="1"/>
  <c r="G5"/>
  <c r="F5" s="1"/>
  <c r="J47"/>
  <c r="K47" s="1"/>
  <c r="J43"/>
  <c r="K43" s="1"/>
  <c r="J38"/>
  <c r="K38" s="1"/>
  <c r="J13"/>
  <c r="K13" s="1"/>
  <c r="J46"/>
  <c r="K46" s="1"/>
  <c r="J42"/>
  <c r="K42" s="1"/>
  <c r="J37"/>
  <c r="K37" s="1"/>
  <c r="J19"/>
  <c r="K19" s="1"/>
  <c r="J10"/>
  <c r="K10" s="1"/>
  <c r="J45"/>
  <c r="K45" s="1"/>
  <c r="J41"/>
  <c r="K41" s="1"/>
  <c r="J18"/>
  <c r="K18" s="1"/>
  <c r="J9"/>
  <c r="K9" s="1"/>
  <c r="J48"/>
  <c r="J44"/>
  <c r="J39"/>
  <c r="K39" s="1"/>
  <c r="J14"/>
  <c r="K14" s="1"/>
  <c r="J7"/>
  <c r="J6"/>
  <c r="K6" s="1"/>
  <c r="J8"/>
  <c r="K31"/>
  <c r="N31" s="1"/>
  <c r="K27"/>
  <c r="N27" s="1"/>
  <c r="K25"/>
  <c r="N25" s="1"/>
  <c r="K23"/>
  <c r="N23" s="1"/>
  <c r="N35" l="1"/>
  <c r="N36"/>
  <c r="N40"/>
  <c r="N15"/>
  <c r="N20"/>
  <c r="K11"/>
  <c r="K7"/>
  <c r="K8"/>
  <c r="K48"/>
  <c r="K44"/>
  <c r="K29"/>
  <c r="N29" s="1"/>
  <c r="N43" l="1"/>
  <c r="N19"/>
  <c r="N10"/>
  <c r="N21"/>
  <c r="N42"/>
  <c r="N37"/>
  <c r="N44"/>
  <c r="N38"/>
  <c r="N9"/>
  <c r="N8"/>
  <c r="N16"/>
  <c r="N45"/>
  <c r="N41"/>
  <c r="N11"/>
  <c r="N6"/>
  <c r="N14"/>
  <c r="N7"/>
  <c r="N13"/>
  <c r="N46"/>
  <c r="N47"/>
  <c r="N18"/>
  <c r="N48"/>
  <c r="N39"/>
  <c r="N12"/>
  <c r="I51"/>
  <c r="H34"/>
  <c r="O34" s="1"/>
  <c r="G34" l="1"/>
  <c r="F34" s="1"/>
  <c r="J34"/>
  <c r="K34" l="1"/>
  <c r="N34" l="1"/>
  <c r="K5"/>
  <c r="N5" l="1"/>
  <c r="N51" s="1"/>
  <c r="O5"/>
</calcChain>
</file>

<file path=xl/sharedStrings.xml><?xml version="1.0" encoding="utf-8"?>
<sst xmlns="http://schemas.openxmlformats.org/spreadsheetml/2006/main" count="232" uniqueCount="67">
  <si>
    <t>Ітого</t>
  </si>
  <si>
    <t>58049 Розчин для калібрування / перевірки 
оптичного інструменту ІВД</t>
  </si>
  <si>
    <t>відсутня</t>
  </si>
  <si>
    <t>Код ДК 021:2015 – 33696500-0 - Лабораторні реактиви</t>
  </si>
  <si>
    <t>флакон</t>
  </si>
  <si>
    <t>58048 Розчин для калібрування / перевірки 
оптичного інструменту ІВД</t>
  </si>
  <si>
    <t>є</t>
  </si>
  <si>
    <t>30603 Набір реагентів для визначення моноспецифічних антитіл</t>
  </si>
  <si>
    <t>мг</t>
  </si>
  <si>
    <t>57758 10% нейтральний буферний розчин формаліну ІВД</t>
  </si>
  <si>
    <t>бут</t>
  </si>
  <si>
    <t>52718 сольовий розчин низької йонної сили IVD, імуногематологічний реагент</t>
  </si>
  <si>
    <t>63377 Засіб очищення приладу / аналізатора ІВД</t>
  </si>
  <si>
    <t>Розчин для пермеабілізації клітин для внутрішньоклітинних досліджень, Permeabilizing Solution 2, 10X концентрат.</t>
  </si>
  <si>
    <t>57757 10% нейтральний буферний розчин формаліну ІВД</t>
  </si>
  <si>
    <t>33354 Добавка до культивувального середовища</t>
  </si>
  <si>
    <t>Добавка до культивувального середовища фетальна бичача сироватка (FBS), 500 мл. Придатне для культури клітин. Стерильне. Зберігання при +4С - 20С. Для короткострокового зберігання клітин та сортингу, 500 мл</t>
  </si>
  <si>
    <t>Розчин трипсину 0,25% у ЕДТА для отримання суспензії клітин, стерильний, придатний для культури клітин. Зберігання при +4С - 20С. 100 мл</t>
  </si>
  <si>
    <t>42651 Буферний ізотонічний сольовий розчин, IVD</t>
  </si>
  <si>
    <t>31477 Контроль антитіло-клітинних антитіл</t>
  </si>
  <si>
    <t>Ізотиповий контроль IgG1 миші, мічені РЕ-Су7</t>
  </si>
  <si>
    <t>31476 Контроль антитіло-клітинних антитіл</t>
  </si>
  <si>
    <t>31475 Контроль антитіло-клітинних антитіл</t>
  </si>
  <si>
    <t>31474 Контроль антитіло-клітинних антитіл</t>
  </si>
  <si>
    <t>31473 Контроль антитіло-клітинних антитіл</t>
  </si>
  <si>
    <t>Ізотиповий контроль Ig G2b миші, мічені АРС-Су7</t>
  </si>
  <si>
    <t>31472 Контроль антитіло-клітинних антитіл</t>
  </si>
  <si>
    <t>мл</t>
  </si>
  <si>
    <t xml:space="preserve"> Розчин  для оцінки життєздатності кліти, BD Via-Probe™ Cell Viability Solution   </t>
  </si>
  <si>
    <t>30602 Набір реагентів для визначення поліспецифічних антитіл</t>
  </si>
  <si>
    <t>Моноклональні антитіла CD3/CD16+/CD56 мічені флюоресцентними барвниками FITC/PE, або еквівалент</t>
  </si>
  <si>
    <t xml:space="preserve">є </t>
  </si>
  <si>
    <t>НАЦІОНАЛЬНИЙ КЛАСИФІКАТОР УКРАЇНИ Класифікатор медичних виробів НК 024:2019</t>
  </si>
  <si>
    <t>Відомості про державну реєстрацію/технічний регламент</t>
  </si>
  <si>
    <t xml:space="preserve">НАЦІОНАЛЬНИЙ КЛАСИФІКАТОР УКРАЇНИ
Єдиний закупівельний словник          ДК 021:2015  </t>
  </si>
  <si>
    <t>Загальна сума</t>
  </si>
  <si>
    <t xml:space="preserve">Ціна середня, з ПДВ </t>
  </si>
  <si>
    <t xml:space="preserve">Цінова пропозиція фірми №2,  з ПДВ </t>
  </si>
  <si>
    <t>ПДВ за 1 одиницю</t>
  </si>
  <si>
    <t>Ціна за 1 одиницю без ПДВ</t>
  </si>
  <si>
    <t xml:space="preserve">Цінова пропозиція фірми №1, з ПДВ </t>
  </si>
  <si>
    <t>Загальна кіль-кість</t>
  </si>
  <si>
    <t>Фасування, тестів</t>
  </si>
  <si>
    <t>Од.вим.</t>
  </si>
  <si>
    <t>Назва реактиву, або еквівалент</t>
  </si>
  <si>
    <t xml:space="preserve"> №з/п</t>
  </si>
  <si>
    <t>0,1 mg</t>
  </si>
  <si>
    <t>20 л.</t>
  </si>
  <si>
    <t>Обжимна рідина для проточного цитофлюориметра, BD FACS Flow</t>
  </si>
  <si>
    <t>Розчин для фіксації клітин, BD Cell Fix</t>
  </si>
  <si>
    <t>50 мл</t>
  </si>
  <si>
    <t>100 мл.</t>
  </si>
  <si>
    <t>500 тестів</t>
  </si>
  <si>
    <t xml:space="preserve">5 л. </t>
  </si>
  <si>
    <t>Розчин для промивання системи проточного цитофлюориметра, BD Clean Solution</t>
  </si>
  <si>
    <t>Розчин для лізису еритроцитів після фарбування клітин моноклональними антитілами, BD Pharm Lyse lysing solution, 10х концентрат</t>
  </si>
  <si>
    <t>каністра</t>
  </si>
  <si>
    <t>Розчин для лізису еритроцитів після фарбування клітин моноклональними антитілами по протоколу "без відмивання", BD Lysing Solution     Pharm Lyse Buffer</t>
  </si>
  <si>
    <t>Набір реагентів для визначення гемопоетичних клітин -попередників у біологічних зразках</t>
  </si>
  <si>
    <t>тестів</t>
  </si>
  <si>
    <t>Медико-технічне завдання на реагенти для клітинного сортеру Becton Dickinson, FACS AriaIII, лабораторія клітинного сортингу Кріобанку Центру служби крові в 2021 році</t>
  </si>
  <si>
    <t>Медико-технічне завдання на реагенти для клітинного сортеру Becton Dickinson, FACS AriaIII, лабораторія клітинного сортингу Кріобанку Центру служби крові в 2021 році (продовження)</t>
  </si>
  <si>
    <t xml:space="preserve">Моноклональні антитіла CD3/CD4/CD45, мічені флюоресцентними барвниками FITC/PE/PerCP, або еквівалент </t>
  </si>
  <si>
    <t>Ізотиповий контроль Ig G1 миші, мічені Pacific Blue</t>
  </si>
  <si>
    <t>Ізотиповий контроль Ig G1 миші, мічені Alexa Fluor700</t>
  </si>
  <si>
    <t>Ізотиповий контроль Ig G1 миші, мічені PE-CF594</t>
  </si>
  <si>
    <r>
      <rPr>
        <sz val="7.2"/>
        <rFont val="Times New Roman"/>
        <family val="1"/>
        <charset val="204"/>
      </rPr>
      <t xml:space="preserve"> Розчин для </t>
    </r>
    <r>
      <rPr>
        <sz val="9"/>
        <rFont val="Times New Roman"/>
        <family val="1"/>
        <charset val="204"/>
      </rPr>
      <t>відмивання клітин, BD Cell Wash Solution</t>
    </r>
  </si>
</sst>
</file>

<file path=xl/styles.xml><?xml version="1.0" encoding="utf-8"?>
<styleSheet xmlns="http://schemas.openxmlformats.org/spreadsheetml/2006/main">
  <fonts count="15"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7.2"/>
      <name val="Times New Roman"/>
      <family val="1"/>
      <charset val="204"/>
    </font>
    <font>
      <b/>
      <sz val="11"/>
      <color theme="0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Border="1"/>
    <xf numFmtId="49" fontId="1" fillId="0" borderId="1" xfId="0" applyNumberFormat="1" applyFont="1" applyBorder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49" fontId="2" fillId="0" borderId="2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2" fontId="4" fillId="0" borderId="0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/>
    </xf>
    <xf numFmtId="2" fontId="1" fillId="0" borderId="0" xfId="0" applyNumberFormat="1" applyFont="1" applyBorder="1" applyAlignment="1">
      <alignment vertical="top"/>
    </xf>
    <xf numFmtId="2" fontId="3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2" fillId="2" borderId="3" xfId="0" applyFont="1" applyFill="1" applyBorder="1" applyAlignment="1">
      <alignment horizontal="center" wrapText="1"/>
    </xf>
    <xf numFmtId="0" fontId="6" fillId="0" borderId="0" xfId="0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2" fontId="4" fillId="0" borderId="4" xfId="0" applyNumberFormat="1" applyFont="1" applyFill="1" applyBorder="1" applyAlignment="1">
      <alignment vertical="top" wrapText="1"/>
    </xf>
    <xf numFmtId="2" fontId="1" fillId="0" borderId="4" xfId="0" applyNumberFormat="1" applyFont="1" applyBorder="1" applyAlignment="1">
      <alignment vertical="top"/>
    </xf>
    <xf numFmtId="2" fontId="3" fillId="0" borderId="4" xfId="0" applyNumberFormat="1" applyFont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4" fillId="0" borderId="4" xfId="0" applyFont="1" applyBorder="1" applyAlignment="1">
      <alignment vertical="top" wrapText="1"/>
    </xf>
    <xf numFmtId="2" fontId="3" fillId="2" borderId="4" xfId="0" applyNumberFormat="1" applyFont="1" applyFill="1" applyBorder="1" applyAlignment="1">
      <alignment vertical="top"/>
    </xf>
    <xf numFmtId="0" fontId="0" fillId="2" borderId="0" xfId="0" applyFill="1"/>
    <xf numFmtId="2" fontId="4" fillId="2" borderId="4" xfId="0" applyNumberFormat="1" applyFont="1" applyFill="1" applyBorder="1" applyAlignment="1">
      <alignment vertical="top" wrapText="1"/>
    </xf>
    <xf numFmtId="0" fontId="8" fillId="0" borderId="0" xfId="0" applyFont="1"/>
    <xf numFmtId="2" fontId="9" fillId="2" borderId="4" xfId="0" applyNumberFormat="1" applyFont="1" applyFill="1" applyBorder="1" applyAlignment="1">
      <alignment vertical="top" wrapText="1"/>
    </xf>
    <xf numFmtId="49" fontId="9" fillId="0" borderId="4" xfId="0" applyNumberFormat="1" applyFont="1" applyBorder="1" applyAlignment="1">
      <alignment vertical="top" wrapText="1"/>
    </xf>
    <xf numFmtId="2" fontId="9" fillId="0" borderId="4" xfId="0" applyNumberFormat="1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/>
    </xf>
    <xf numFmtId="49" fontId="9" fillId="0" borderId="4" xfId="0" applyNumberFormat="1" applyFont="1" applyFill="1" applyBorder="1" applyAlignment="1">
      <alignment vertical="top"/>
    </xf>
    <xf numFmtId="0" fontId="11" fillId="0" borderId="6" xfId="0" applyFont="1" applyBorder="1" applyAlignment="1">
      <alignment horizontal="center"/>
    </xf>
    <xf numFmtId="2" fontId="3" fillId="0" borderId="4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top"/>
    </xf>
    <xf numFmtId="0" fontId="9" fillId="2" borderId="4" xfId="0" applyFont="1" applyFill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4" fillId="2" borderId="4" xfId="0" applyFont="1" applyFill="1" applyBorder="1" applyAlignment="1">
      <alignment vertical="top"/>
    </xf>
    <xf numFmtId="2" fontId="4" fillId="0" borderId="4" xfId="0" applyNumberFormat="1" applyFont="1" applyBorder="1" applyAlignment="1">
      <alignment vertical="top"/>
    </xf>
    <xf numFmtId="0" fontId="4" fillId="3" borderId="4" xfId="0" applyFont="1" applyFill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2" fontId="4" fillId="2" borderId="4" xfId="0" applyNumberFormat="1" applyFont="1" applyFill="1" applyBorder="1" applyAlignment="1">
      <alignment vertical="top"/>
    </xf>
    <xf numFmtId="2" fontId="4" fillId="0" borderId="4" xfId="0" applyNumberFormat="1" applyFont="1" applyBorder="1" applyAlignment="1">
      <alignment vertical="top" wrapText="1"/>
    </xf>
    <xf numFmtId="0" fontId="14" fillId="0" borderId="4" xfId="0" applyFont="1" applyBorder="1" applyAlignment="1">
      <alignment vertical="top"/>
    </xf>
    <xf numFmtId="2" fontId="14" fillId="0" borderId="4" xfId="0" applyNumberFormat="1" applyFont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11" fillId="0" borderId="6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ga%20Nikolaevna\AppData\Local\Microsoft\Windows\INetCache\Content.Outlook\P424K1JK\FACS_&#1054;&#1093;&#1084;&#1072;&#1090;&#1076;&#1080;&#1090;_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агенти (2)"/>
    </sheetNames>
    <sheetDataSet>
      <sheetData sheetId="0">
        <row r="6">
          <cell r="C6" t="str">
            <v>Моноклональне антитіло CD3, мічене флюоресцентним барвником FITC, або Alexa Fluor 488, або еквівалент</v>
          </cell>
          <cell r="J6">
            <v>2</v>
          </cell>
        </row>
        <row r="7">
          <cell r="C7" t="str">
            <v>Моноклональне антитіло CD3, мічене флюоресцентним барвником PerCP-Cy5,5</v>
          </cell>
        </row>
        <row r="8">
          <cell r="C8" t="str">
            <v>Моноклональне антитіло CD19, мічене флюоресцентним барвником  FITC</v>
          </cell>
        </row>
        <row r="9">
          <cell r="C9" t="str">
            <v>Моноклональне антитіло CD19, мічене флюоресцентним барвником APC</v>
          </cell>
        </row>
        <row r="10">
          <cell r="C10" t="str">
            <v>Моноклональне антитіло CD34, мічене флюоресцентним барвником PE</v>
          </cell>
        </row>
        <row r="11">
          <cell r="C11" t="str">
            <v>Моноклональне антитіло CD34, мічене флюоресцентним барвником РЕ-Су7</v>
          </cell>
        </row>
        <row r="12">
          <cell r="C12" t="str">
            <v>Моноклональне антитіло CD45, мічене флюоресцентним барвником FITC</v>
          </cell>
        </row>
        <row r="13">
          <cell r="C13" t="str">
            <v>Моноклональне антитіло CD45, мічене флюоресцентним барвником PerCP-Cy5,5</v>
          </cell>
        </row>
        <row r="14">
          <cell r="C14" t="str">
            <v>Моноклональне антитіло CD56, мічене флюоресцентним барвником FITC</v>
          </cell>
        </row>
        <row r="15">
          <cell r="C15" t="str">
            <v>Моноклональне антитіло CD56, мічене флюоресцентним барвником PE</v>
          </cell>
        </row>
        <row r="16">
          <cell r="C16" t="str">
            <v>Моноклональне антитіло TCR α/β, мічене флюоресцентним барвником PE</v>
          </cell>
        </row>
        <row r="17">
          <cell r="C17" t="str">
            <v>Моноклональне антитіло TCR γ/δ, мічене флюоресцентним барвником APC</v>
          </cell>
        </row>
        <row r="18">
          <cell r="C18" t="str">
            <v>Моноклональне антитіло Anti-kappa/Anti-Lambda/CD19, мічене флюоресцентним барвником FITC/PE/ECD, або FITC/PE/PerCP , або еквівалент</v>
          </cell>
        </row>
        <row r="20">
          <cell r="C20" t="str">
            <v xml:space="preserve">Моноклональні антитіла CD3/CD16+CD56/CD45/CD19  </v>
          </cell>
        </row>
        <row r="27">
          <cell r="G27">
            <v>24148.5</v>
          </cell>
        </row>
        <row r="28">
          <cell r="K28">
            <v>39689.22</v>
          </cell>
        </row>
        <row r="29">
          <cell r="G29">
            <v>15771.24</v>
          </cell>
        </row>
        <row r="30">
          <cell r="K30">
            <v>10707.960000000001</v>
          </cell>
        </row>
        <row r="31">
          <cell r="K31">
            <v>13095.1</v>
          </cell>
        </row>
        <row r="32">
          <cell r="K32">
            <v>7537.8000000000011</v>
          </cell>
        </row>
        <row r="34">
          <cell r="C34" t="str">
            <v>Моноклональне антитіло CD8, мічене флюоресцентним барвником APC, або еквівалент</v>
          </cell>
          <cell r="G34">
            <v>30046.48</v>
          </cell>
        </row>
        <row r="35">
          <cell r="C35" t="str">
            <v>Моноклональне антитіло CD8,мічене флюоресцентним барвником PE-Cy5, або еквівалент</v>
          </cell>
          <cell r="K35">
            <v>26432.960000000003</v>
          </cell>
        </row>
        <row r="36">
          <cell r="C36" t="str">
            <v>Monoclonal Antibody to CD11b, Fluorochrome PE, or equivalent </v>
          </cell>
          <cell r="K36">
            <v>22535.199999999997</v>
          </cell>
        </row>
        <row r="37">
          <cell r="C37" t="str">
            <v>Monoclonal Antibody to CD14, APC-Cy7</v>
          </cell>
          <cell r="K37">
            <v>23714.32</v>
          </cell>
        </row>
        <row r="38">
          <cell r="C38" t="str">
            <v>Monoclonal Antibody to CD90, Fluorochrome FITC</v>
          </cell>
          <cell r="K38">
            <v>37004.58</v>
          </cell>
        </row>
        <row r="40">
          <cell r="C40" t="str">
            <v>Моноклональне антитіло   CD105, мічене флюоресцентним барвником PerCP-Cy5,5</v>
          </cell>
          <cell r="K40">
            <v>39091.5</v>
          </cell>
        </row>
        <row r="41">
          <cell r="C41" t="str">
            <v>Monoclonal Antibody to HLA-DR, Fluorochrome PE</v>
          </cell>
          <cell r="G41">
            <v>30386.48</v>
          </cell>
        </row>
        <row r="42">
          <cell r="C42" t="str">
            <v>Monoclonal Antibody to HLA-DR, Fluorochrome PE-Cy5,5</v>
          </cell>
          <cell r="K42">
            <v>26849.119999999999</v>
          </cell>
        </row>
        <row r="43">
          <cell r="C43" t="str">
            <v>Моноклональне антитіло CD106, мічене флюоресцентним барвником PE-CF594, або еквівалент PE-Cy5</v>
          </cell>
          <cell r="K43">
            <v>50975.520000000004</v>
          </cell>
        </row>
        <row r="44">
          <cell r="C44" t="str">
            <v>Моноклональне антитіло CD133, мічене флюоресцентним барвником APC-Alexa Fluor 750, або APC-H7, або еквівалент APC</v>
          </cell>
          <cell r="K44">
            <v>43380.600000000006</v>
          </cell>
        </row>
        <row r="45">
          <cell r="C45" t="str">
            <v>Моноклональне антитіло EpCam, мічене флюоресцентним барвником PE-Cy7 або еквівалент PerCP-Cy5.5</v>
          </cell>
          <cell r="K45">
            <v>36109.360000000001</v>
          </cell>
        </row>
        <row r="46">
          <cell r="C46" t="str">
            <v>PE-CF594 Mouse Anti-Human CD326 (EpCam)</v>
          </cell>
          <cell r="K46">
            <v>21328.199999999997</v>
          </cell>
        </row>
        <row r="47">
          <cell r="C47" t="str">
            <v>BD CS&amp;T Research Beads, 655051</v>
          </cell>
          <cell r="K47">
            <v>66148.7</v>
          </cell>
        </row>
        <row r="48">
          <cell r="C48" t="str">
            <v>BD Accudrop Beads, 661612</v>
          </cell>
          <cell r="K48">
            <v>57638.5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Z74"/>
  <sheetViews>
    <sheetView tabSelected="1" zoomScale="90" zoomScaleNormal="90" workbookViewId="0">
      <selection activeCell="A53" sqref="A53:XFD66"/>
    </sheetView>
  </sheetViews>
  <sheetFormatPr defaultRowHeight="14.25"/>
  <cols>
    <col min="1" max="1" width="5.75" customWidth="1"/>
    <col min="2" max="2" width="35.75" customWidth="1"/>
    <col min="3" max="3" width="7.875" customWidth="1"/>
    <col min="4" max="4" width="6.25" customWidth="1"/>
    <col min="5" max="5" width="5" style="2" customWidth="1"/>
    <col min="6" max="6" width="8" customWidth="1"/>
    <col min="7" max="7" width="7.5" customWidth="1"/>
    <col min="8" max="8" width="9.125" customWidth="1"/>
    <col min="9" max="9" width="11.125" customWidth="1"/>
    <col min="10" max="10" width="7.75" customWidth="1"/>
    <col min="11" max="11" width="9.125" customWidth="1"/>
    <col min="12" max="13" width="8.875" customWidth="1"/>
    <col min="14" max="14" width="11.5" customWidth="1"/>
    <col min="15" max="15" width="9" customWidth="1"/>
    <col min="16" max="16" width="8.125" customWidth="1"/>
    <col min="17" max="17" width="23.625" customWidth="1"/>
    <col min="18" max="18" width="8.25" customWidth="1"/>
    <col min="19" max="19" width="30.625" style="1" customWidth="1"/>
  </cols>
  <sheetData>
    <row r="2" spans="1:20" ht="41.25" customHeight="1">
      <c r="B2" s="66" t="s">
        <v>60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 t="s">
        <v>61</v>
      </c>
      <c r="N2" s="66"/>
      <c r="O2" s="66"/>
      <c r="P2" s="66"/>
      <c r="Q2" s="66"/>
      <c r="R2" s="66"/>
      <c r="S2" s="66"/>
    </row>
    <row r="3" spans="1:20" ht="51.7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52"/>
      <c r="N3" s="48"/>
      <c r="O3" s="48"/>
      <c r="P3" s="48"/>
      <c r="Q3" s="48"/>
      <c r="R3" s="48"/>
      <c r="S3" s="48"/>
    </row>
    <row r="4" spans="1:20" ht="61.5" customHeight="1">
      <c r="A4" s="47" t="s">
        <v>45</v>
      </c>
      <c r="B4" s="45" t="s">
        <v>44</v>
      </c>
      <c r="C4" s="46" t="s">
        <v>43</v>
      </c>
      <c r="D4" s="45" t="s">
        <v>42</v>
      </c>
      <c r="E4" s="45" t="s">
        <v>41</v>
      </c>
      <c r="F4" s="43" t="s">
        <v>39</v>
      </c>
      <c r="G4" s="43" t="s">
        <v>38</v>
      </c>
      <c r="H4" s="45" t="s">
        <v>40</v>
      </c>
      <c r="I4" s="41" t="s">
        <v>35</v>
      </c>
      <c r="J4" s="43" t="s">
        <v>39</v>
      </c>
      <c r="K4" s="43" t="s">
        <v>38</v>
      </c>
      <c r="L4" s="54" t="s">
        <v>37</v>
      </c>
      <c r="M4" s="44"/>
      <c r="N4" s="41" t="s">
        <v>35</v>
      </c>
      <c r="O4" s="43" t="s">
        <v>36</v>
      </c>
      <c r="P4" s="41" t="s">
        <v>35</v>
      </c>
      <c r="Q4" s="41" t="s">
        <v>34</v>
      </c>
      <c r="R4" s="42" t="s">
        <v>33</v>
      </c>
      <c r="S4" s="41" t="s">
        <v>32</v>
      </c>
      <c r="T4" s="40">
        <v>33.4</v>
      </c>
    </row>
    <row r="5" spans="1:20" ht="25.5" customHeight="1">
      <c r="A5" s="55">
        <v>1</v>
      </c>
      <c r="B5" s="36" t="str">
        <f>'[1]реагенти (2)'!$C$6</f>
        <v>Моноклональне антитіло CD3, мічене флюоресцентним барвником FITC, або Alexa Fluor 488, або еквівалент</v>
      </c>
      <c r="C5" s="36" t="s">
        <v>4</v>
      </c>
      <c r="D5" s="36">
        <v>100</v>
      </c>
      <c r="E5" s="55">
        <f>'[1]реагенти (2)'!$J$6</f>
        <v>2</v>
      </c>
      <c r="F5" s="57">
        <f>H5-G5</f>
        <v>7174.8213005999996</v>
      </c>
      <c r="G5" s="57">
        <f>H5*0.16667</f>
        <v>1434.9986994000001</v>
      </c>
      <c r="H5" s="57">
        <f t="shared" ref="H5:H22" si="0">I5/E5</f>
        <v>8609.82</v>
      </c>
      <c r="I5" s="57">
        <f>14973.6*1.15</f>
        <v>17219.64</v>
      </c>
      <c r="J5" s="57">
        <f>H5/1.2</f>
        <v>7174.85</v>
      </c>
      <c r="K5" s="57">
        <f t="shared" ref="K5:K50" si="1">H5-J5</f>
        <v>1434.9699999999993</v>
      </c>
      <c r="L5" s="57">
        <v>7486.8</v>
      </c>
      <c r="M5" s="53">
        <v>1</v>
      </c>
      <c r="N5" s="49">
        <f t="shared" ref="N5:N50" si="2">L5*E5</f>
        <v>14973.6</v>
      </c>
      <c r="O5" s="34">
        <f>(H5+L5)/2</f>
        <v>8048.3099999999995</v>
      </c>
      <c r="P5" s="34"/>
      <c r="Q5" s="32" t="s">
        <v>3</v>
      </c>
      <c r="R5" s="31" t="s">
        <v>2</v>
      </c>
      <c r="S5" s="30" t="s">
        <v>7</v>
      </c>
    </row>
    <row r="6" spans="1:20" ht="24">
      <c r="A6" s="55">
        <f t="shared" ref="A6:A50" si="3">A5+1</f>
        <v>2</v>
      </c>
      <c r="B6" s="36" t="str">
        <f>'[1]реагенти (2)'!$C$7</f>
        <v>Моноклональне антитіло CD3, мічене флюоресцентним барвником PerCP-Cy5,5</v>
      </c>
      <c r="C6" s="36" t="s">
        <v>4</v>
      </c>
      <c r="D6" s="36">
        <v>50</v>
      </c>
      <c r="E6" s="55">
        <v>4</v>
      </c>
      <c r="F6" s="57">
        <f t="shared" ref="F6:F50" si="4">H6-G6</f>
        <v>10606.81007259</v>
      </c>
      <c r="G6" s="57">
        <f t="shared" ref="G6:G50" si="5">H6*0.16667</f>
        <v>2121.4129274100001</v>
      </c>
      <c r="H6" s="57">
        <f t="shared" si="0"/>
        <v>12728.223</v>
      </c>
      <c r="I6" s="57">
        <f>44272.08*1.15</f>
        <v>50912.892</v>
      </c>
      <c r="J6" s="57">
        <f>H6/1.07</f>
        <v>11895.535514018691</v>
      </c>
      <c r="K6" s="57">
        <f t="shared" si="1"/>
        <v>832.68748598130878</v>
      </c>
      <c r="L6" s="57">
        <v>11068.02</v>
      </c>
      <c r="M6" s="53">
        <f>M5+1</f>
        <v>2</v>
      </c>
      <c r="N6" s="49">
        <f t="shared" si="2"/>
        <v>44272.08</v>
      </c>
      <c r="O6" s="34">
        <f t="shared" ref="O6:O50" si="6">(H6+L6)/2</f>
        <v>11898.121500000001</v>
      </c>
      <c r="P6" s="34"/>
      <c r="Q6" s="32" t="s">
        <v>3</v>
      </c>
      <c r="R6" s="31" t="s">
        <v>6</v>
      </c>
      <c r="S6" s="30" t="s">
        <v>7</v>
      </c>
    </row>
    <row r="7" spans="1:20" ht="28.5" customHeight="1">
      <c r="A7" s="55">
        <f t="shared" si="3"/>
        <v>3</v>
      </c>
      <c r="B7" s="36" t="str">
        <f>'[1]реагенти (2)'!$C$8</f>
        <v>Моноклональне антитіло CD19, мічене флюоресцентним барвником  FITC</v>
      </c>
      <c r="C7" s="36" t="s">
        <v>4</v>
      </c>
      <c r="D7" s="58">
        <v>100</v>
      </c>
      <c r="E7" s="55">
        <v>3</v>
      </c>
      <c r="F7" s="57">
        <f t="shared" si="4"/>
        <v>7033.7360316100003</v>
      </c>
      <c r="G7" s="57">
        <f t="shared" si="5"/>
        <v>1406.78096839</v>
      </c>
      <c r="H7" s="57">
        <f t="shared" si="0"/>
        <v>8440.5169999999998</v>
      </c>
      <c r="I7" s="57">
        <f>22018.74*1.15</f>
        <v>25321.550999999999</v>
      </c>
      <c r="J7" s="57">
        <f>H7/1.2</f>
        <v>7033.7641666666668</v>
      </c>
      <c r="K7" s="57">
        <f t="shared" si="1"/>
        <v>1406.752833333333</v>
      </c>
      <c r="L7" s="57">
        <v>7339.58</v>
      </c>
      <c r="M7" s="53">
        <f t="shared" ref="M7:M50" si="7">M6+1</f>
        <v>3</v>
      </c>
      <c r="N7" s="49">
        <f t="shared" si="2"/>
        <v>22018.739999999998</v>
      </c>
      <c r="O7" s="34">
        <f t="shared" si="6"/>
        <v>7890.0484999999999</v>
      </c>
      <c r="P7" s="34"/>
      <c r="Q7" s="32" t="s">
        <v>3</v>
      </c>
      <c r="R7" s="31" t="s">
        <v>2</v>
      </c>
      <c r="S7" s="30" t="s">
        <v>7</v>
      </c>
    </row>
    <row r="8" spans="1:20" ht="26.25" customHeight="1">
      <c r="A8" s="55">
        <f t="shared" si="3"/>
        <v>4</v>
      </c>
      <c r="B8" s="36" t="str">
        <f>'[1]реагенти (2)'!$C$9</f>
        <v>Моноклональне антитіло CD19, мічене флюоресцентним барвником APC</v>
      </c>
      <c r="C8" s="36" t="s">
        <v>4</v>
      </c>
      <c r="D8" s="36">
        <v>100</v>
      </c>
      <c r="E8" s="56">
        <v>3</v>
      </c>
      <c r="F8" s="57">
        <f t="shared" si="4"/>
        <v>14397.21407758</v>
      </c>
      <c r="G8" s="57">
        <f t="shared" si="5"/>
        <v>2879.5119224199998</v>
      </c>
      <c r="H8" s="57">
        <f t="shared" si="0"/>
        <v>17276.725999999999</v>
      </c>
      <c r="I8" s="57">
        <f>45069.72*1.15</f>
        <v>51830.178</v>
      </c>
      <c r="J8" s="57">
        <f>H8/1.07</f>
        <v>16146.47289719626</v>
      </c>
      <c r="K8" s="57">
        <f t="shared" si="1"/>
        <v>1130.2531028037392</v>
      </c>
      <c r="L8" s="57">
        <v>15023.24</v>
      </c>
      <c r="M8" s="53">
        <f t="shared" si="7"/>
        <v>4</v>
      </c>
      <c r="N8" s="49">
        <f t="shared" si="2"/>
        <v>45069.72</v>
      </c>
      <c r="O8" s="34">
        <f t="shared" si="6"/>
        <v>16149.983</v>
      </c>
      <c r="P8" s="34"/>
      <c r="Q8" s="32" t="s">
        <v>3</v>
      </c>
      <c r="R8" s="31" t="s">
        <v>6</v>
      </c>
      <c r="S8" s="30" t="s">
        <v>7</v>
      </c>
    </row>
    <row r="9" spans="1:20" ht="25.5" customHeight="1">
      <c r="A9" s="55">
        <f t="shared" si="3"/>
        <v>5</v>
      </c>
      <c r="B9" s="36" t="str">
        <f>'[1]реагенти (2)'!$C$10</f>
        <v>Моноклональне антитіло CD34, мічене флюоресцентним барвником PE</v>
      </c>
      <c r="C9" s="36" t="s">
        <v>4</v>
      </c>
      <c r="D9" s="36">
        <v>100</v>
      </c>
      <c r="E9" s="55">
        <v>3</v>
      </c>
      <c r="F9" s="57">
        <f t="shared" si="4"/>
        <v>9844.6889544199985</v>
      </c>
      <c r="G9" s="57">
        <f t="shared" si="5"/>
        <v>1968.9850455799999</v>
      </c>
      <c r="H9" s="57">
        <f t="shared" si="0"/>
        <v>11813.673999999999</v>
      </c>
      <c r="I9" s="57">
        <f>30818.28*1.15</f>
        <v>35441.021999999997</v>
      </c>
      <c r="J9" s="57">
        <f>H9/1.2</f>
        <v>9844.7283333333326</v>
      </c>
      <c r="K9" s="57">
        <f t="shared" si="1"/>
        <v>1968.9456666666665</v>
      </c>
      <c r="L9" s="57">
        <v>10272.76</v>
      </c>
      <c r="M9" s="53">
        <f t="shared" si="7"/>
        <v>5</v>
      </c>
      <c r="N9" s="49">
        <f t="shared" si="2"/>
        <v>30818.28</v>
      </c>
      <c r="O9" s="34">
        <f t="shared" si="6"/>
        <v>11043.217000000001</v>
      </c>
      <c r="P9" s="34"/>
      <c r="Q9" s="32" t="s">
        <v>3</v>
      </c>
      <c r="R9" s="31" t="s">
        <v>2</v>
      </c>
      <c r="S9" s="30" t="s">
        <v>7</v>
      </c>
    </row>
    <row r="10" spans="1:20" ht="24.75" customHeight="1">
      <c r="A10" s="55">
        <f t="shared" si="3"/>
        <v>6</v>
      </c>
      <c r="B10" s="36" t="str">
        <f>'[1]реагенти (2)'!$C$11</f>
        <v>Моноклональне антитіло CD34, мічене флюоресцентним барвником РЕ-Су7</v>
      </c>
      <c r="C10" s="36" t="s">
        <v>4</v>
      </c>
      <c r="D10" s="36">
        <v>100</v>
      </c>
      <c r="E10" s="55">
        <v>4</v>
      </c>
      <c r="F10" s="57">
        <f t="shared" si="4"/>
        <v>16425.518464330002</v>
      </c>
      <c r="G10" s="57">
        <f t="shared" si="5"/>
        <v>3285.1825356700006</v>
      </c>
      <c r="H10" s="57">
        <f t="shared" si="0"/>
        <v>19710.701000000001</v>
      </c>
      <c r="I10" s="57">
        <f>68558.96*1.15</f>
        <v>78842.804000000004</v>
      </c>
      <c r="J10" s="57">
        <f>H10/1.07</f>
        <v>18421.215887850467</v>
      </c>
      <c r="K10" s="57">
        <f t="shared" si="1"/>
        <v>1289.485112149534</v>
      </c>
      <c r="L10" s="57">
        <v>17139.740000000002</v>
      </c>
      <c r="M10" s="53">
        <f t="shared" si="7"/>
        <v>6</v>
      </c>
      <c r="N10" s="49">
        <f t="shared" si="2"/>
        <v>68558.960000000006</v>
      </c>
      <c r="O10" s="34">
        <f t="shared" si="6"/>
        <v>18425.220500000003</v>
      </c>
      <c r="P10" s="34"/>
      <c r="Q10" s="32" t="s">
        <v>3</v>
      </c>
      <c r="R10" s="31" t="s">
        <v>31</v>
      </c>
      <c r="S10" s="30" t="s">
        <v>7</v>
      </c>
    </row>
    <row r="11" spans="1:20" ht="30.75" customHeight="1">
      <c r="A11" s="55">
        <f t="shared" si="3"/>
        <v>7</v>
      </c>
      <c r="B11" s="36" t="str">
        <f>'[1]реагенти (2)'!$C$12</f>
        <v>Моноклональне антитіло CD45, мічене флюоресцентним барвником FITC</v>
      </c>
      <c r="C11" s="36" t="s">
        <v>4</v>
      </c>
      <c r="D11" s="36">
        <v>100</v>
      </c>
      <c r="E11" s="55">
        <v>4</v>
      </c>
      <c r="F11" s="57">
        <f t="shared" si="4"/>
        <v>13000.697996999999</v>
      </c>
      <c r="G11" s="57">
        <f t="shared" si="5"/>
        <v>2600.2020030000003</v>
      </c>
      <c r="H11" s="57">
        <f t="shared" si="0"/>
        <v>15600.9</v>
      </c>
      <c r="I11" s="57">
        <f>54264*1.15</f>
        <v>62403.6</v>
      </c>
      <c r="J11" s="57">
        <f>H11/1.07</f>
        <v>14580.280373831774</v>
      </c>
      <c r="K11" s="57">
        <f t="shared" si="1"/>
        <v>1020.6196261682253</v>
      </c>
      <c r="L11" s="57">
        <v>13566</v>
      </c>
      <c r="M11" s="53">
        <f t="shared" si="7"/>
        <v>7</v>
      </c>
      <c r="N11" s="49">
        <f t="shared" si="2"/>
        <v>54264</v>
      </c>
      <c r="O11" s="34">
        <f t="shared" si="6"/>
        <v>14583.45</v>
      </c>
      <c r="P11" s="34"/>
      <c r="Q11" s="32" t="s">
        <v>3</v>
      </c>
      <c r="R11" s="31" t="s">
        <v>31</v>
      </c>
      <c r="S11" s="30" t="s">
        <v>7</v>
      </c>
    </row>
    <row r="12" spans="1:20" ht="28.5" customHeight="1">
      <c r="A12" s="55">
        <f t="shared" si="3"/>
        <v>8</v>
      </c>
      <c r="B12" s="36" t="str">
        <f>'[1]реагенти (2)'!$C$13</f>
        <v>Моноклональне антитіло CD45, мічене флюоресцентним барвником PerCP-Cy5,5</v>
      </c>
      <c r="C12" s="36" t="s">
        <v>4</v>
      </c>
      <c r="D12" s="36">
        <v>100</v>
      </c>
      <c r="E12" s="55">
        <v>3</v>
      </c>
      <c r="F12" s="57">
        <f t="shared" si="4"/>
        <v>10665.134005959999</v>
      </c>
      <c r="G12" s="57">
        <f t="shared" si="5"/>
        <v>2133.0779940400002</v>
      </c>
      <c r="H12" s="57">
        <f t="shared" si="0"/>
        <v>12798.212</v>
      </c>
      <c r="I12" s="57">
        <f>33386.64*1.15</f>
        <v>38394.635999999999</v>
      </c>
      <c r="J12" s="57">
        <f>H12/1.2</f>
        <v>10665.176666666666</v>
      </c>
      <c r="K12" s="57">
        <f t="shared" si="1"/>
        <v>2133.0353333333333</v>
      </c>
      <c r="L12" s="57">
        <v>11128.88</v>
      </c>
      <c r="M12" s="53">
        <f t="shared" si="7"/>
        <v>8</v>
      </c>
      <c r="N12" s="49">
        <f t="shared" si="2"/>
        <v>33386.639999999999</v>
      </c>
      <c r="O12" s="34">
        <f t="shared" si="6"/>
        <v>11963.545999999998</v>
      </c>
      <c r="P12" s="34"/>
      <c r="Q12" s="32" t="s">
        <v>3</v>
      </c>
      <c r="R12" s="31" t="s">
        <v>2</v>
      </c>
      <c r="S12" s="30" t="s">
        <v>7</v>
      </c>
    </row>
    <row r="13" spans="1:20" ht="29.25" customHeight="1">
      <c r="A13" s="55">
        <f t="shared" si="3"/>
        <v>9</v>
      </c>
      <c r="B13" s="36" t="str">
        <f>'[1]реагенти (2)'!$C$14</f>
        <v>Моноклональне антитіло CD56, мічене флюоресцентним барвником FITC</v>
      </c>
      <c r="C13" s="36" t="s">
        <v>4</v>
      </c>
      <c r="D13" s="36">
        <v>100</v>
      </c>
      <c r="E13" s="55">
        <v>3</v>
      </c>
      <c r="F13" s="57">
        <f t="shared" si="4"/>
        <v>6787.0811848999992</v>
      </c>
      <c r="G13" s="57">
        <f t="shared" si="5"/>
        <v>1357.4488150999998</v>
      </c>
      <c r="H13" s="57">
        <f t="shared" si="0"/>
        <v>8144.5299999999988</v>
      </c>
      <c r="I13" s="57">
        <f>21246.6*1.15</f>
        <v>24433.589999999997</v>
      </c>
      <c r="J13" s="57">
        <f>H13/1.2</f>
        <v>6787.1083333333327</v>
      </c>
      <c r="K13" s="57">
        <f t="shared" si="1"/>
        <v>1357.4216666666662</v>
      </c>
      <c r="L13" s="57">
        <v>7082.2</v>
      </c>
      <c r="M13" s="53">
        <f t="shared" si="7"/>
        <v>9</v>
      </c>
      <c r="N13" s="49">
        <f t="shared" si="2"/>
        <v>21246.6</v>
      </c>
      <c r="O13" s="34">
        <f t="shared" si="6"/>
        <v>7613.3649999999998</v>
      </c>
      <c r="P13" s="34"/>
      <c r="Q13" s="32" t="s">
        <v>3</v>
      </c>
      <c r="R13" s="31" t="s">
        <v>2</v>
      </c>
      <c r="S13" s="30" t="s">
        <v>7</v>
      </c>
    </row>
    <row r="14" spans="1:20" ht="31.5" customHeight="1">
      <c r="A14" s="55">
        <f t="shared" si="3"/>
        <v>10</v>
      </c>
      <c r="B14" s="36" t="str">
        <f>'[1]реагенти (2)'!$C$15</f>
        <v>Моноклональне антитіло CD56, мічене флюоресцентним барвником PE</v>
      </c>
      <c r="C14" s="36" t="s">
        <v>4</v>
      </c>
      <c r="D14" s="36">
        <v>100</v>
      </c>
      <c r="E14" s="55">
        <v>4</v>
      </c>
      <c r="F14" s="57">
        <f t="shared" si="4"/>
        <v>14397.21407758</v>
      </c>
      <c r="G14" s="57">
        <f t="shared" si="5"/>
        <v>2879.5119224199998</v>
      </c>
      <c r="H14" s="57">
        <f t="shared" si="0"/>
        <v>17276.725999999999</v>
      </c>
      <c r="I14" s="57">
        <f>60092.96*1.15</f>
        <v>69106.903999999995</v>
      </c>
      <c r="J14" s="57">
        <f>H14/1.07</f>
        <v>16146.47289719626</v>
      </c>
      <c r="K14" s="57">
        <f t="shared" si="1"/>
        <v>1130.2531028037392</v>
      </c>
      <c r="L14" s="57">
        <v>15023.24</v>
      </c>
      <c r="M14" s="53">
        <f t="shared" si="7"/>
        <v>10</v>
      </c>
      <c r="N14" s="49">
        <f t="shared" si="2"/>
        <v>60092.959999999999</v>
      </c>
      <c r="O14" s="34">
        <f t="shared" si="6"/>
        <v>16149.983</v>
      </c>
      <c r="P14" s="34"/>
      <c r="Q14" s="32" t="s">
        <v>3</v>
      </c>
      <c r="R14" s="31" t="s">
        <v>6</v>
      </c>
      <c r="S14" s="30" t="s">
        <v>7</v>
      </c>
    </row>
    <row r="15" spans="1:20" ht="27.75" customHeight="1">
      <c r="A15" s="55">
        <f t="shared" si="3"/>
        <v>11</v>
      </c>
      <c r="B15" s="36" t="str">
        <f>'[1]реагенти (2)'!$C$16</f>
        <v>Моноклональне антитіло TCR α/β, мічене флюоресцентним барвником PE</v>
      </c>
      <c r="C15" s="36" t="s">
        <v>4</v>
      </c>
      <c r="D15" s="36">
        <v>100</v>
      </c>
      <c r="E15" s="55">
        <v>2</v>
      </c>
      <c r="F15" s="57">
        <f t="shared" si="4"/>
        <v>10590.518471089999</v>
      </c>
      <c r="G15" s="57">
        <f t="shared" si="5"/>
        <v>2118.15452891</v>
      </c>
      <c r="H15" s="57">
        <f t="shared" si="0"/>
        <v>12708.672999999999</v>
      </c>
      <c r="I15" s="57">
        <f>22102.04*1.15</f>
        <v>25417.345999999998</v>
      </c>
      <c r="J15" s="57">
        <f>H15/1.2</f>
        <v>10590.560833333333</v>
      </c>
      <c r="K15" s="57">
        <f t="shared" si="1"/>
        <v>2118.1121666666659</v>
      </c>
      <c r="L15" s="57">
        <v>11051.02</v>
      </c>
      <c r="M15" s="53">
        <f t="shared" si="7"/>
        <v>11</v>
      </c>
      <c r="N15" s="49">
        <f t="shared" si="2"/>
        <v>22102.04</v>
      </c>
      <c r="O15" s="34">
        <f t="shared" si="6"/>
        <v>11879.8465</v>
      </c>
      <c r="P15" s="34"/>
      <c r="Q15" s="32" t="s">
        <v>3</v>
      </c>
      <c r="R15" s="31" t="s">
        <v>2</v>
      </c>
      <c r="S15" s="30" t="s">
        <v>7</v>
      </c>
    </row>
    <row r="16" spans="1:20" ht="28.5" customHeight="1">
      <c r="A16" s="55">
        <f t="shared" si="3"/>
        <v>12</v>
      </c>
      <c r="B16" s="36" t="str">
        <f>'[1]реагенти (2)'!$C$17</f>
        <v>Моноклональне антитіло TCR γ/δ, мічене флюоресцентним барвником APC</v>
      </c>
      <c r="C16" s="36" t="s">
        <v>8</v>
      </c>
      <c r="D16" s="36">
        <v>0.1</v>
      </c>
      <c r="E16" s="55">
        <v>2</v>
      </c>
      <c r="F16" s="57">
        <f t="shared" si="4"/>
        <v>15055.394778179998</v>
      </c>
      <c r="G16" s="57">
        <f t="shared" si="5"/>
        <v>3011.15122182</v>
      </c>
      <c r="H16" s="57">
        <f t="shared" si="0"/>
        <v>18066.545999999998</v>
      </c>
      <c r="I16" s="57">
        <f>31420.08*1.15</f>
        <v>36133.091999999997</v>
      </c>
      <c r="J16" s="57">
        <f>H16/1.2</f>
        <v>15055.455</v>
      </c>
      <c r="K16" s="57">
        <f t="shared" si="1"/>
        <v>3011.0909999999985</v>
      </c>
      <c r="L16" s="57">
        <v>15710.04</v>
      </c>
      <c r="M16" s="53">
        <f t="shared" si="7"/>
        <v>12</v>
      </c>
      <c r="N16" s="49">
        <f t="shared" si="2"/>
        <v>31420.080000000002</v>
      </c>
      <c r="O16" s="34">
        <f t="shared" si="6"/>
        <v>16888.292999999998</v>
      </c>
      <c r="P16" s="34"/>
      <c r="Q16" s="32" t="s">
        <v>3</v>
      </c>
      <c r="R16" s="31" t="s">
        <v>2</v>
      </c>
      <c r="S16" s="30" t="s">
        <v>7</v>
      </c>
    </row>
    <row r="17" spans="1:52" ht="40.5" customHeight="1">
      <c r="A17" s="55">
        <f t="shared" si="3"/>
        <v>13</v>
      </c>
      <c r="B17" s="36" t="str">
        <f>'[1]реагенти (2)'!$C$18</f>
        <v>Моноклональне антитіло Anti-kappa/Anti-Lambda/CD19, мічене флюоресцентним барвником FITC/PE/ECD, або FITC/PE/PerCP , або еквівалент</v>
      </c>
      <c r="C17" s="36" t="s">
        <v>4</v>
      </c>
      <c r="D17" s="58">
        <v>50</v>
      </c>
      <c r="E17" s="55">
        <v>4</v>
      </c>
      <c r="F17" s="57">
        <f t="shared" si="4"/>
        <v>23973.091607249997</v>
      </c>
      <c r="G17" s="57">
        <f t="shared" si="5"/>
        <v>4794.7333927499994</v>
      </c>
      <c r="H17" s="57">
        <f t="shared" si="0"/>
        <v>28767.824999999997</v>
      </c>
      <c r="I17" s="57">
        <f>100062*1.15</f>
        <v>115071.29999999999</v>
      </c>
      <c r="J17" s="57">
        <f>H17/1.07</f>
        <v>26885.817757009343</v>
      </c>
      <c r="K17" s="57">
        <f t="shared" si="1"/>
        <v>1882.007242990654</v>
      </c>
      <c r="L17" s="57">
        <v>25015.5</v>
      </c>
      <c r="M17" s="53">
        <f t="shared" si="7"/>
        <v>13</v>
      </c>
      <c r="N17" s="49">
        <f t="shared" si="2"/>
        <v>100062</v>
      </c>
      <c r="O17" s="34">
        <f t="shared" si="6"/>
        <v>26891.662499999999</v>
      </c>
      <c r="P17" s="34"/>
      <c r="Q17" s="32" t="s">
        <v>3</v>
      </c>
      <c r="R17" s="31" t="s">
        <v>6</v>
      </c>
      <c r="S17" s="30" t="s">
        <v>29</v>
      </c>
    </row>
    <row r="18" spans="1:52" ht="39" customHeight="1">
      <c r="A18" s="55">
        <f t="shared" si="3"/>
        <v>14</v>
      </c>
      <c r="B18" s="36" t="s">
        <v>30</v>
      </c>
      <c r="C18" s="36" t="s">
        <v>4</v>
      </c>
      <c r="D18" s="58">
        <v>50</v>
      </c>
      <c r="E18" s="55">
        <v>4</v>
      </c>
      <c r="F18" s="57">
        <f t="shared" si="4"/>
        <v>12335.674823769999</v>
      </c>
      <c r="G18" s="57">
        <f t="shared" si="5"/>
        <v>2467.1941762299998</v>
      </c>
      <c r="H18" s="57">
        <f t="shared" si="0"/>
        <v>14802.868999999999</v>
      </c>
      <c r="I18" s="57">
        <f>51488.24*1.15</f>
        <v>59211.475999999995</v>
      </c>
      <c r="J18" s="57">
        <f>H18/1.07</f>
        <v>13834.457009345793</v>
      </c>
      <c r="K18" s="57">
        <f t="shared" si="1"/>
        <v>968.41199065420551</v>
      </c>
      <c r="L18" s="57">
        <v>12872.06</v>
      </c>
      <c r="M18" s="53">
        <f t="shared" si="7"/>
        <v>14</v>
      </c>
      <c r="N18" s="49">
        <f t="shared" si="2"/>
        <v>51488.24</v>
      </c>
      <c r="O18" s="34">
        <f t="shared" si="6"/>
        <v>13837.464499999998</v>
      </c>
      <c r="P18" s="34"/>
      <c r="Q18" s="32" t="s">
        <v>3</v>
      </c>
      <c r="R18" s="31" t="s">
        <v>6</v>
      </c>
      <c r="S18" s="30" t="s">
        <v>29</v>
      </c>
    </row>
    <row r="19" spans="1:52" ht="27" customHeight="1">
      <c r="A19" s="55">
        <f t="shared" si="3"/>
        <v>15</v>
      </c>
      <c r="B19" s="36" t="str">
        <f>'[1]реагенти (2)'!$C$20</f>
        <v xml:space="preserve">Моноклональні антитіла CD3/CD16+CD56/CD45/CD19  </v>
      </c>
      <c r="C19" s="36" t="s">
        <v>4</v>
      </c>
      <c r="D19" s="58">
        <v>50</v>
      </c>
      <c r="E19" s="55">
        <v>4</v>
      </c>
      <c r="F19" s="57">
        <f t="shared" si="4"/>
        <v>22166.67883293</v>
      </c>
      <c r="G19" s="57">
        <f t="shared" si="5"/>
        <v>4433.4421670700003</v>
      </c>
      <c r="H19" s="57">
        <f t="shared" si="0"/>
        <v>26600.120999999999</v>
      </c>
      <c r="I19" s="57">
        <f>92522.16*1.15</f>
        <v>106400.484</v>
      </c>
      <c r="J19" s="57">
        <f>H19/1.07</f>
        <v>24859.926168224298</v>
      </c>
      <c r="K19" s="57">
        <f t="shared" si="1"/>
        <v>1740.1948317757015</v>
      </c>
      <c r="L19" s="57">
        <v>23130.54</v>
      </c>
      <c r="M19" s="53">
        <f t="shared" si="7"/>
        <v>15</v>
      </c>
      <c r="N19" s="49">
        <f t="shared" si="2"/>
        <v>92522.16</v>
      </c>
      <c r="O19" s="34">
        <f t="shared" si="6"/>
        <v>24865.3305</v>
      </c>
      <c r="P19" s="34"/>
      <c r="Q19" s="32" t="s">
        <v>3</v>
      </c>
      <c r="R19" s="31" t="s">
        <v>6</v>
      </c>
      <c r="S19" s="30" t="s">
        <v>29</v>
      </c>
    </row>
    <row r="20" spans="1:52" ht="42" customHeight="1">
      <c r="A20" s="55">
        <f t="shared" si="3"/>
        <v>16</v>
      </c>
      <c r="B20" s="59" t="s">
        <v>62</v>
      </c>
      <c r="C20" s="36" t="s">
        <v>4</v>
      </c>
      <c r="D20" s="58">
        <v>50</v>
      </c>
      <c r="E20" s="55">
        <v>4</v>
      </c>
      <c r="F20" s="57">
        <f t="shared" si="4"/>
        <v>13756.302474569997</v>
      </c>
      <c r="G20" s="57">
        <f t="shared" si="5"/>
        <v>2751.3265254299999</v>
      </c>
      <c r="H20" s="57">
        <f t="shared" si="0"/>
        <v>16507.628999999997</v>
      </c>
      <c r="I20" s="57">
        <f>57417.84*1.15</f>
        <v>66030.515999999989</v>
      </c>
      <c r="J20" s="57">
        <f>H20/1.07</f>
        <v>15427.690654205604</v>
      </c>
      <c r="K20" s="57">
        <f t="shared" si="1"/>
        <v>1079.9383457943932</v>
      </c>
      <c r="L20" s="57">
        <v>14354.46</v>
      </c>
      <c r="M20" s="53">
        <f t="shared" si="7"/>
        <v>16</v>
      </c>
      <c r="N20" s="49">
        <f t="shared" si="2"/>
        <v>57417.84</v>
      </c>
      <c r="O20" s="34">
        <f t="shared" si="6"/>
        <v>15431.044499999998</v>
      </c>
      <c r="P20" s="34"/>
      <c r="Q20" s="32" t="s">
        <v>3</v>
      </c>
      <c r="R20" s="31" t="s">
        <v>6</v>
      </c>
      <c r="S20" s="30" t="s">
        <v>29</v>
      </c>
    </row>
    <row r="21" spans="1:52" s="38" customFormat="1" ht="26.25" customHeight="1">
      <c r="A21" s="56">
        <f t="shared" si="3"/>
        <v>17</v>
      </c>
      <c r="B21" s="36" t="s">
        <v>58</v>
      </c>
      <c r="C21" s="60" t="s">
        <v>4</v>
      </c>
      <c r="D21" s="60">
        <v>50</v>
      </c>
      <c r="E21" s="56">
        <v>4</v>
      </c>
      <c r="F21" s="57">
        <f t="shared" si="4"/>
        <v>14517.063598180001</v>
      </c>
      <c r="G21" s="57">
        <f t="shared" si="5"/>
        <v>2903.4824018200006</v>
      </c>
      <c r="H21" s="61">
        <f t="shared" si="0"/>
        <v>17420.546000000002</v>
      </c>
      <c r="I21" s="61">
        <f>63347.44*1.1</f>
        <v>69682.184000000008</v>
      </c>
      <c r="J21" s="57">
        <f t="shared" ref="J21:J28" si="8">H21/1.2</f>
        <v>14517.12166666667</v>
      </c>
      <c r="K21" s="57">
        <f t="shared" si="1"/>
        <v>2903.4243333333325</v>
      </c>
      <c r="L21" s="57">
        <v>15836.86</v>
      </c>
      <c r="M21" s="53">
        <f t="shared" si="7"/>
        <v>17</v>
      </c>
      <c r="N21" s="49">
        <f t="shared" si="2"/>
        <v>63347.44</v>
      </c>
      <c r="O21" s="34">
        <f t="shared" si="6"/>
        <v>16628.703000000001</v>
      </c>
      <c r="P21" s="37"/>
      <c r="Q21" s="39" t="s">
        <v>3</v>
      </c>
      <c r="R21" s="35" t="s">
        <v>2</v>
      </c>
      <c r="S21" s="30" t="s">
        <v>29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s="38" customFormat="1" ht="32.25" customHeight="1">
      <c r="A22" s="56">
        <f t="shared" si="3"/>
        <v>18</v>
      </c>
      <c r="B22" s="36" t="s">
        <v>28</v>
      </c>
      <c r="C22" s="60" t="s">
        <v>27</v>
      </c>
      <c r="D22" s="60">
        <v>2</v>
      </c>
      <c r="E22" s="56">
        <v>5</v>
      </c>
      <c r="F22" s="57">
        <f t="shared" si="4"/>
        <v>2802.4954566400002</v>
      </c>
      <c r="G22" s="57">
        <f t="shared" si="5"/>
        <v>560.51254336000011</v>
      </c>
      <c r="H22" s="61">
        <f t="shared" si="0"/>
        <v>3363.0080000000003</v>
      </c>
      <c r="I22" s="61">
        <f>15286.4*1.1</f>
        <v>16815.04</v>
      </c>
      <c r="J22" s="57">
        <f t="shared" si="8"/>
        <v>2802.5066666666671</v>
      </c>
      <c r="K22" s="57">
        <f t="shared" si="1"/>
        <v>560.50133333333315</v>
      </c>
      <c r="L22" s="57">
        <v>3057.28</v>
      </c>
      <c r="M22" s="53">
        <f t="shared" si="7"/>
        <v>18</v>
      </c>
      <c r="N22" s="49">
        <f t="shared" si="2"/>
        <v>15286.400000000001</v>
      </c>
      <c r="O22" s="34">
        <f t="shared" si="6"/>
        <v>3210.1440000000002</v>
      </c>
      <c r="P22" s="37"/>
      <c r="Q22" s="39" t="s">
        <v>3</v>
      </c>
      <c r="R22" s="35" t="s">
        <v>2</v>
      </c>
      <c r="S22" s="30" t="s">
        <v>26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s="38" customFormat="1" ht="26.25" customHeight="1">
      <c r="A23" s="56">
        <f t="shared" si="3"/>
        <v>19</v>
      </c>
      <c r="B23" s="36" t="s">
        <v>25</v>
      </c>
      <c r="C23" s="60" t="s">
        <v>4</v>
      </c>
      <c r="D23" s="60">
        <v>100</v>
      </c>
      <c r="E23" s="56">
        <v>1</v>
      </c>
      <c r="F23" s="57">
        <f t="shared" si="4"/>
        <v>9281.3295411999989</v>
      </c>
      <c r="G23" s="57">
        <f t="shared" si="5"/>
        <v>1856.3104588000001</v>
      </c>
      <c r="H23" s="61">
        <v>11137.64</v>
      </c>
      <c r="I23" s="61">
        <f>11137.64*1.1</f>
        <v>12251.404</v>
      </c>
      <c r="J23" s="57">
        <f t="shared" si="8"/>
        <v>9281.3666666666668</v>
      </c>
      <c r="K23" s="57">
        <f t="shared" si="1"/>
        <v>1856.2733333333326</v>
      </c>
      <c r="L23" s="57">
        <v>11137.64</v>
      </c>
      <c r="M23" s="53">
        <f t="shared" si="7"/>
        <v>19</v>
      </c>
      <c r="N23" s="49">
        <f t="shared" si="2"/>
        <v>11137.64</v>
      </c>
      <c r="O23" s="34">
        <f t="shared" si="6"/>
        <v>11137.64</v>
      </c>
      <c r="P23" s="37"/>
      <c r="Q23" s="39" t="s">
        <v>3</v>
      </c>
      <c r="R23" s="35" t="s">
        <v>2</v>
      </c>
      <c r="S23" s="30" t="s">
        <v>24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s="38" customFormat="1" ht="26.25" customHeight="1">
      <c r="A24" s="56">
        <f t="shared" si="3"/>
        <v>20</v>
      </c>
      <c r="B24" s="36" t="s">
        <v>63</v>
      </c>
      <c r="C24" s="60" t="s">
        <v>8</v>
      </c>
      <c r="D24" s="60">
        <v>0.1</v>
      </c>
      <c r="E24" s="56">
        <v>1</v>
      </c>
      <c r="F24" s="57">
        <f t="shared" si="4"/>
        <v>10319.4837219</v>
      </c>
      <c r="G24" s="57">
        <f t="shared" si="5"/>
        <v>2063.9462781000002</v>
      </c>
      <c r="H24" s="61">
        <v>12383.43</v>
      </c>
      <c r="I24" s="61">
        <f>12383.43*1.1</f>
        <v>13621.773000000001</v>
      </c>
      <c r="J24" s="57">
        <f t="shared" si="8"/>
        <v>10319.525000000001</v>
      </c>
      <c r="K24" s="57">
        <f t="shared" si="1"/>
        <v>2063.9049999999988</v>
      </c>
      <c r="L24" s="57">
        <v>12383.43</v>
      </c>
      <c r="M24" s="53">
        <f t="shared" si="7"/>
        <v>20</v>
      </c>
      <c r="N24" s="49">
        <f t="shared" si="2"/>
        <v>12383.43</v>
      </c>
      <c r="O24" s="34">
        <f t="shared" si="6"/>
        <v>12383.43</v>
      </c>
      <c r="P24" s="37"/>
      <c r="Q24" s="39" t="s">
        <v>3</v>
      </c>
      <c r="R24" s="35" t="s">
        <v>2</v>
      </c>
      <c r="S24" s="30" t="s">
        <v>23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s="38" customFormat="1" ht="26.25" customHeight="1">
      <c r="A25" s="56">
        <f t="shared" si="3"/>
        <v>21</v>
      </c>
      <c r="B25" s="36" t="s">
        <v>64</v>
      </c>
      <c r="C25" s="60" t="s">
        <v>8</v>
      </c>
      <c r="D25" s="60">
        <v>0.1</v>
      </c>
      <c r="E25" s="56">
        <v>1</v>
      </c>
      <c r="F25" s="57">
        <f t="shared" si="4"/>
        <v>9691.3029012999996</v>
      </c>
      <c r="G25" s="57">
        <f t="shared" si="5"/>
        <v>1938.3070987000003</v>
      </c>
      <c r="H25" s="61">
        <v>11629.61</v>
      </c>
      <c r="I25" s="61">
        <f>11629.61*1.1</f>
        <v>12792.571000000002</v>
      </c>
      <c r="J25" s="57">
        <f t="shared" si="8"/>
        <v>9691.3416666666672</v>
      </c>
      <c r="K25" s="57">
        <f t="shared" si="1"/>
        <v>1938.2683333333334</v>
      </c>
      <c r="L25" s="57">
        <v>11629.61</v>
      </c>
      <c r="M25" s="53">
        <f t="shared" si="7"/>
        <v>21</v>
      </c>
      <c r="N25" s="49">
        <f t="shared" si="2"/>
        <v>11629.61</v>
      </c>
      <c r="O25" s="34">
        <f t="shared" si="6"/>
        <v>11629.61</v>
      </c>
      <c r="P25" s="37"/>
      <c r="Q25" s="39" t="s">
        <v>3</v>
      </c>
      <c r="R25" s="35" t="s">
        <v>2</v>
      </c>
      <c r="S25" s="30" t="s">
        <v>22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</row>
    <row r="26" spans="1:52" s="38" customFormat="1" ht="26.25" customHeight="1">
      <c r="A26" s="56">
        <f t="shared" si="3"/>
        <v>22</v>
      </c>
      <c r="B26" s="36" t="s">
        <v>65</v>
      </c>
      <c r="C26" s="60" t="s">
        <v>4</v>
      </c>
      <c r="D26" s="60">
        <v>0.1</v>
      </c>
      <c r="E26" s="56">
        <v>1</v>
      </c>
      <c r="F26" s="57">
        <f t="shared" si="4"/>
        <v>8486.6827197999992</v>
      </c>
      <c r="G26" s="57">
        <f t="shared" si="5"/>
        <v>1697.3772802000001</v>
      </c>
      <c r="H26" s="61">
        <v>10184.06</v>
      </c>
      <c r="I26" s="61">
        <f>10184.06*1.1</f>
        <v>11202.466</v>
      </c>
      <c r="J26" s="57">
        <f t="shared" si="8"/>
        <v>8486.7166666666672</v>
      </c>
      <c r="K26" s="57">
        <f t="shared" si="1"/>
        <v>1697.3433333333323</v>
      </c>
      <c r="L26" s="57">
        <v>10184.06</v>
      </c>
      <c r="M26" s="53">
        <f t="shared" si="7"/>
        <v>22</v>
      </c>
      <c r="N26" s="49">
        <f t="shared" si="2"/>
        <v>10184.06</v>
      </c>
      <c r="O26" s="34">
        <f t="shared" si="6"/>
        <v>10184.06</v>
      </c>
      <c r="P26" s="37"/>
      <c r="Q26" s="39" t="s">
        <v>3</v>
      </c>
      <c r="R26" s="35" t="s">
        <v>2</v>
      </c>
      <c r="S26" s="30" t="s">
        <v>21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 s="38" customFormat="1" ht="26.25" customHeight="1">
      <c r="A27" s="56">
        <f t="shared" si="3"/>
        <v>23</v>
      </c>
      <c r="B27" s="36" t="s">
        <v>20</v>
      </c>
      <c r="C27" s="60" t="s">
        <v>59</v>
      </c>
      <c r="D27" s="60">
        <v>100</v>
      </c>
      <c r="E27" s="56">
        <v>1</v>
      </c>
      <c r="F27" s="57">
        <f t="shared" si="4"/>
        <v>7370.6121841000004</v>
      </c>
      <c r="G27" s="57">
        <f t="shared" si="5"/>
        <v>1474.1578159000003</v>
      </c>
      <c r="H27" s="61">
        <v>8844.77</v>
      </c>
      <c r="I27" s="61">
        <f>8844.77*1.1</f>
        <v>9729.2470000000012</v>
      </c>
      <c r="J27" s="57">
        <f t="shared" si="8"/>
        <v>7370.6416666666673</v>
      </c>
      <c r="K27" s="57">
        <f t="shared" si="1"/>
        <v>1474.1283333333331</v>
      </c>
      <c r="L27" s="57">
        <v>8844.77</v>
      </c>
      <c r="M27" s="53">
        <f t="shared" si="7"/>
        <v>23</v>
      </c>
      <c r="N27" s="49">
        <f t="shared" si="2"/>
        <v>8844.77</v>
      </c>
      <c r="O27" s="34">
        <f t="shared" si="6"/>
        <v>8844.77</v>
      </c>
      <c r="P27" s="37"/>
      <c r="Q27" s="39" t="s">
        <v>3</v>
      </c>
      <c r="R27" s="35" t="s">
        <v>2</v>
      </c>
      <c r="S27" s="30" t="s">
        <v>19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</row>
    <row r="28" spans="1:52" ht="26.25" customHeight="1">
      <c r="A28" s="56">
        <f t="shared" si="3"/>
        <v>24</v>
      </c>
      <c r="B28" s="36" t="s">
        <v>48</v>
      </c>
      <c r="C28" s="58" t="s">
        <v>10</v>
      </c>
      <c r="D28" s="58" t="s">
        <v>47</v>
      </c>
      <c r="E28" s="55">
        <v>10</v>
      </c>
      <c r="F28" s="57">
        <f t="shared" si="4"/>
        <v>1487.2107178000001</v>
      </c>
      <c r="G28" s="57">
        <f t="shared" si="5"/>
        <v>297.44928220000003</v>
      </c>
      <c r="H28" s="57">
        <v>1784.66</v>
      </c>
      <c r="I28" s="61">
        <f>17846.6*1.1</f>
        <v>19631.259999999998</v>
      </c>
      <c r="J28" s="57">
        <f t="shared" si="8"/>
        <v>1487.2166666666667</v>
      </c>
      <c r="K28" s="57">
        <f t="shared" si="1"/>
        <v>297.44333333333338</v>
      </c>
      <c r="L28" s="57">
        <v>1784.66</v>
      </c>
      <c r="M28" s="53">
        <f t="shared" si="7"/>
        <v>24</v>
      </c>
      <c r="N28" s="49">
        <f t="shared" si="2"/>
        <v>17846.600000000002</v>
      </c>
      <c r="O28" s="34">
        <f t="shared" si="6"/>
        <v>1784.66</v>
      </c>
      <c r="P28" s="34"/>
      <c r="Q28" s="32" t="s">
        <v>3</v>
      </c>
      <c r="R28" s="31" t="s">
        <v>2</v>
      </c>
      <c r="S28" s="30" t="s">
        <v>18</v>
      </c>
    </row>
    <row r="29" spans="1:52" ht="39.75" customHeight="1">
      <c r="A29" s="56">
        <f t="shared" si="3"/>
        <v>25</v>
      </c>
      <c r="B29" s="36" t="s">
        <v>17</v>
      </c>
      <c r="C29" s="58" t="s">
        <v>10</v>
      </c>
      <c r="D29" s="58">
        <v>1</v>
      </c>
      <c r="E29" s="55">
        <v>10</v>
      </c>
      <c r="F29" s="57">
        <f t="shared" si="4"/>
        <v>3190.9039029999999</v>
      </c>
      <c r="G29" s="57">
        <f t="shared" si="5"/>
        <v>638.19609700000001</v>
      </c>
      <c r="H29" s="57">
        <v>3829.1</v>
      </c>
      <c r="I29" s="61">
        <f>38291*1.05</f>
        <v>40205.550000000003</v>
      </c>
      <c r="J29" s="57">
        <f>L29*0.16667</f>
        <v>638.19609700000001</v>
      </c>
      <c r="K29" s="57">
        <f t="shared" si="1"/>
        <v>3190.9039029999999</v>
      </c>
      <c r="L29" s="57">
        <v>3829.1</v>
      </c>
      <c r="M29" s="53">
        <f t="shared" si="7"/>
        <v>25</v>
      </c>
      <c r="N29" s="49">
        <f t="shared" si="2"/>
        <v>38291</v>
      </c>
      <c r="O29" s="34">
        <f t="shared" si="6"/>
        <v>3829.1</v>
      </c>
      <c r="P29" s="34"/>
      <c r="Q29" s="32" t="s">
        <v>3</v>
      </c>
      <c r="R29" s="31" t="s">
        <v>2</v>
      </c>
      <c r="S29" s="30" t="s">
        <v>15</v>
      </c>
    </row>
    <row r="30" spans="1:52" ht="62.25" customHeight="1">
      <c r="A30" s="56">
        <f t="shared" si="3"/>
        <v>26</v>
      </c>
      <c r="B30" s="36" t="s">
        <v>16</v>
      </c>
      <c r="C30" s="58" t="s">
        <v>10</v>
      </c>
      <c r="D30" s="58">
        <v>1</v>
      </c>
      <c r="E30" s="55">
        <v>12</v>
      </c>
      <c r="F30" s="57">
        <f t="shared" si="4"/>
        <v>13569.11239</v>
      </c>
      <c r="G30" s="57">
        <f t="shared" si="5"/>
        <v>2713.8876100000002</v>
      </c>
      <c r="H30" s="57">
        <v>16283</v>
      </c>
      <c r="I30" s="57">
        <f>195396*1.05</f>
        <v>205165.80000000002</v>
      </c>
      <c r="J30" s="57">
        <f>L30*0.16667</f>
        <v>2713.8876100000002</v>
      </c>
      <c r="K30" s="57">
        <f t="shared" si="1"/>
        <v>13569.11239</v>
      </c>
      <c r="L30" s="57">
        <v>16283</v>
      </c>
      <c r="M30" s="53">
        <f t="shared" si="7"/>
        <v>26</v>
      </c>
      <c r="N30" s="49">
        <f t="shared" si="2"/>
        <v>195396</v>
      </c>
      <c r="O30" s="34">
        <f t="shared" si="6"/>
        <v>16283</v>
      </c>
      <c r="P30" s="34"/>
      <c r="Q30" s="32" t="s">
        <v>3</v>
      </c>
      <c r="R30" s="31" t="s">
        <v>2</v>
      </c>
      <c r="S30" s="30" t="s">
        <v>15</v>
      </c>
    </row>
    <row r="31" spans="1:52" ht="26.25" customHeight="1">
      <c r="A31" s="56">
        <f t="shared" si="3"/>
        <v>27</v>
      </c>
      <c r="B31" s="36" t="s">
        <v>49</v>
      </c>
      <c r="C31" s="58" t="s">
        <v>10</v>
      </c>
      <c r="D31" s="58" t="s">
        <v>50</v>
      </c>
      <c r="E31" s="55">
        <v>4</v>
      </c>
      <c r="F31" s="57">
        <f t="shared" si="4"/>
        <v>6707.8898349999999</v>
      </c>
      <c r="G31" s="57">
        <f t="shared" si="5"/>
        <v>1341.6101650000001</v>
      </c>
      <c r="H31" s="57">
        <v>8049.5</v>
      </c>
      <c r="I31" s="57">
        <f>'[1]реагенти (2)'!$G$27</f>
        <v>24148.5</v>
      </c>
      <c r="J31" s="57">
        <f>H31/1.07</f>
        <v>7522.8971962616815</v>
      </c>
      <c r="K31" s="57">
        <f t="shared" si="1"/>
        <v>526.60280373831847</v>
      </c>
      <c r="L31" s="57">
        <v>8049.5</v>
      </c>
      <c r="M31" s="53">
        <f t="shared" si="7"/>
        <v>27</v>
      </c>
      <c r="N31" s="49">
        <f t="shared" si="2"/>
        <v>32198</v>
      </c>
      <c r="O31" s="34">
        <f t="shared" si="6"/>
        <v>8049.5</v>
      </c>
      <c r="P31" s="34"/>
      <c r="Q31" s="32" t="s">
        <v>3</v>
      </c>
      <c r="R31" s="31" t="s">
        <v>6</v>
      </c>
      <c r="S31" s="30" t="s">
        <v>14</v>
      </c>
    </row>
    <row r="32" spans="1:52" ht="38.25" customHeight="1">
      <c r="A32" s="56">
        <f t="shared" si="3"/>
        <v>28</v>
      </c>
      <c r="B32" s="36" t="s">
        <v>13</v>
      </c>
      <c r="C32" s="36" t="s">
        <v>4</v>
      </c>
      <c r="D32" s="58" t="s">
        <v>52</v>
      </c>
      <c r="E32" s="55">
        <v>1</v>
      </c>
      <c r="F32" s="57">
        <f t="shared" si="4"/>
        <v>11024.7392342</v>
      </c>
      <c r="G32" s="57">
        <f t="shared" si="5"/>
        <v>2205.0007658</v>
      </c>
      <c r="H32" s="57">
        <v>13229.74</v>
      </c>
      <c r="I32" s="57">
        <f>'[1]реагенти (2)'!$K$28</f>
        <v>39689.22</v>
      </c>
      <c r="J32" s="57">
        <f>H32/1.2</f>
        <v>11024.783333333333</v>
      </c>
      <c r="K32" s="57">
        <f t="shared" si="1"/>
        <v>2204.9566666666669</v>
      </c>
      <c r="L32" s="57">
        <v>13299.74</v>
      </c>
      <c r="M32" s="53">
        <f t="shared" si="7"/>
        <v>28</v>
      </c>
      <c r="N32" s="49">
        <f t="shared" si="2"/>
        <v>13299.74</v>
      </c>
      <c r="O32" s="34">
        <f t="shared" si="6"/>
        <v>13264.74</v>
      </c>
      <c r="P32" s="34"/>
      <c r="Q32" s="32" t="s">
        <v>3</v>
      </c>
      <c r="R32" s="31" t="s">
        <v>2</v>
      </c>
      <c r="S32" s="30" t="s">
        <v>9</v>
      </c>
    </row>
    <row r="33" spans="1:19" ht="50.25" customHeight="1">
      <c r="A33" s="56">
        <f t="shared" si="3"/>
        <v>29</v>
      </c>
      <c r="B33" s="36" t="s">
        <v>57</v>
      </c>
      <c r="C33" s="36" t="s">
        <v>4</v>
      </c>
      <c r="D33" s="58" t="s">
        <v>51</v>
      </c>
      <c r="E33" s="55">
        <v>4</v>
      </c>
      <c r="F33" s="57">
        <f t="shared" si="4"/>
        <v>4380.8824764000001</v>
      </c>
      <c r="G33" s="57">
        <f t="shared" si="5"/>
        <v>876.19752360000007</v>
      </c>
      <c r="H33" s="57">
        <v>5257.08</v>
      </c>
      <c r="I33" s="57">
        <f>'[1]реагенти (2)'!$G$29</f>
        <v>15771.24</v>
      </c>
      <c r="J33" s="57">
        <f>H33/1.07</f>
        <v>4913.1588785046724</v>
      </c>
      <c r="K33" s="57">
        <f t="shared" si="1"/>
        <v>343.9211214953275</v>
      </c>
      <c r="L33" s="57">
        <v>5257.08</v>
      </c>
      <c r="M33" s="53">
        <f t="shared" si="7"/>
        <v>29</v>
      </c>
      <c r="N33" s="49">
        <f t="shared" si="2"/>
        <v>21028.32</v>
      </c>
      <c r="O33" s="34">
        <f t="shared" si="6"/>
        <v>5257.08</v>
      </c>
      <c r="P33" s="34"/>
      <c r="Q33" s="32" t="s">
        <v>3</v>
      </c>
      <c r="R33" s="31" t="s">
        <v>6</v>
      </c>
      <c r="S33" s="30" t="s">
        <v>11</v>
      </c>
    </row>
    <row r="34" spans="1:19" ht="26.25" customHeight="1">
      <c r="A34" s="56">
        <f t="shared" si="3"/>
        <v>30</v>
      </c>
      <c r="B34" s="36" t="s">
        <v>54</v>
      </c>
      <c r="C34" s="58" t="s">
        <v>56</v>
      </c>
      <c r="D34" s="58" t="s">
        <v>53</v>
      </c>
      <c r="E34" s="55">
        <v>6</v>
      </c>
      <c r="F34" s="57">
        <f t="shared" si="4"/>
        <v>1487.2107178000001</v>
      </c>
      <c r="G34" s="57">
        <f t="shared" si="5"/>
        <v>297.44928220000003</v>
      </c>
      <c r="H34" s="57">
        <f t="shared" ref="H34:H48" si="9">I34/E34</f>
        <v>1784.66</v>
      </c>
      <c r="I34" s="57">
        <f>'[1]реагенти (2)'!$K$30</f>
        <v>10707.960000000001</v>
      </c>
      <c r="J34" s="57">
        <f>H34/1.2</f>
        <v>1487.2166666666667</v>
      </c>
      <c r="K34" s="57">
        <f t="shared" si="1"/>
        <v>297.44333333333338</v>
      </c>
      <c r="L34" s="57">
        <v>1784.66</v>
      </c>
      <c r="M34" s="53">
        <f t="shared" si="7"/>
        <v>30</v>
      </c>
      <c r="N34" s="49">
        <f t="shared" si="2"/>
        <v>10707.960000000001</v>
      </c>
      <c r="O34" s="34">
        <f t="shared" si="6"/>
        <v>1784.66</v>
      </c>
      <c r="P34" s="34"/>
      <c r="Q34" s="32" t="s">
        <v>3</v>
      </c>
      <c r="R34" s="31" t="s">
        <v>2</v>
      </c>
      <c r="S34" s="30" t="s">
        <v>12</v>
      </c>
    </row>
    <row r="35" spans="1:19" ht="39" customHeight="1">
      <c r="A35" s="56">
        <f t="shared" si="3"/>
        <v>31</v>
      </c>
      <c r="B35" s="36" t="s">
        <v>55</v>
      </c>
      <c r="C35" s="58" t="s">
        <v>4</v>
      </c>
      <c r="D35" s="58" t="s">
        <v>51</v>
      </c>
      <c r="E35" s="55">
        <v>5</v>
      </c>
      <c r="F35" s="57">
        <f t="shared" si="4"/>
        <v>2182.5079366</v>
      </c>
      <c r="G35" s="57">
        <f t="shared" si="5"/>
        <v>436.51206340000005</v>
      </c>
      <c r="H35" s="57">
        <f t="shared" si="9"/>
        <v>2619.02</v>
      </c>
      <c r="I35" s="57">
        <f>'[1]реагенти (2)'!$K$31</f>
        <v>13095.1</v>
      </c>
      <c r="J35" s="57">
        <f>H35/1.2</f>
        <v>2182.5166666666669</v>
      </c>
      <c r="K35" s="57">
        <f t="shared" si="1"/>
        <v>436.5033333333331</v>
      </c>
      <c r="L35" s="57">
        <v>2619.02</v>
      </c>
      <c r="M35" s="53">
        <f t="shared" si="7"/>
        <v>31</v>
      </c>
      <c r="N35" s="49">
        <f t="shared" si="2"/>
        <v>13095.1</v>
      </c>
      <c r="O35" s="34">
        <f t="shared" si="6"/>
        <v>2619.02</v>
      </c>
      <c r="P35" s="34"/>
      <c r="Q35" s="32" t="s">
        <v>3</v>
      </c>
      <c r="R35" s="31" t="s">
        <v>2</v>
      </c>
      <c r="S35" s="30" t="s">
        <v>11</v>
      </c>
    </row>
    <row r="36" spans="1:19" ht="27" customHeight="1">
      <c r="A36" s="56">
        <f t="shared" si="3"/>
        <v>32</v>
      </c>
      <c r="B36" s="36" t="s">
        <v>66</v>
      </c>
      <c r="C36" s="58" t="s">
        <v>56</v>
      </c>
      <c r="D36" s="58" t="s">
        <v>53</v>
      </c>
      <c r="E36" s="55">
        <v>5</v>
      </c>
      <c r="F36" s="57">
        <f t="shared" si="4"/>
        <v>1256.2949748000001</v>
      </c>
      <c r="G36" s="57">
        <f t="shared" si="5"/>
        <v>251.26502520000005</v>
      </c>
      <c r="H36" s="57">
        <f t="shared" si="9"/>
        <v>1507.5600000000002</v>
      </c>
      <c r="I36" s="57">
        <f>'[1]реагенти (2)'!$K$32</f>
        <v>7537.8000000000011</v>
      </c>
      <c r="J36" s="57">
        <f>H36/1.2</f>
        <v>1256.3000000000002</v>
      </c>
      <c r="K36" s="57">
        <f t="shared" si="1"/>
        <v>251.26</v>
      </c>
      <c r="L36" s="57">
        <v>1507</v>
      </c>
      <c r="M36" s="53">
        <f t="shared" si="7"/>
        <v>32</v>
      </c>
      <c r="N36" s="49">
        <f t="shared" si="2"/>
        <v>7535</v>
      </c>
      <c r="O36" s="34">
        <f t="shared" si="6"/>
        <v>1507.2800000000002</v>
      </c>
      <c r="P36" s="34"/>
      <c r="Q36" s="32" t="s">
        <v>3</v>
      </c>
      <c r="R36" s="31" t="s">
        <v>2</v>
      </c>
      <c r="S36" s="30" t="s">
        <v>9</v>
      </c>
    </row>
    <row r="37" spans="1:19" ht="27.75" customHeight="1">
      <c r="A37" s="56">
        <f t="shared" si="3"/>
        <v>33</v>
      </c>
      <c r="B37" s="36" t="str">
        <f>'[1]реагенти (2)'!$C$34</f>
        <v>Моноклональне антитіло CD8, мічене флюоресцентним барвником APC, або еквівалент</v>
      </c>
      <c r="C37" s="36" t="s">
        <v>4</v>
      </c>
      <c r="D37" s="58">
        <v>100</v>
      </c>
      <c r="E37" s="55">
        <v>2</v>
      </c>
      <c r="F37" s="57">
        <f t="shared" si="4"/>
        <v>12519.3165892</v>
      </c>
      <c r="G37" s="57">
        <f t="shared" si="5"/>
        <v>2503.9234108000001</v>
      </c>
      <c r="H37" s="57">
        <f t="shared" si="9"/>
        <v>15023.24</v>
      </c>
      <c r="I37" s="57">
        <f>'[1]реагенти (2)'!$G$34</f>
        <v>30046.48</v>
      </c>
      <c r="J37" s="57">
        <f>H37/1.07</f>
        <v>14040.41121495327</v>
      </c>
      <c r="K37" s="57">
        <f t="shared" si="1"/>
        <v>982.82878504672954</v>
      </c>
      <c r="L37" s="57">
        <v>1507.56</v>
      </c>
      <c r="M37" s="53">
        <f t="shared" si="7"/>
        <v>33</v>
      </c>
      <c r="N37" s="49">
        <f t="shared" si="2"/>
        <v>3015.12</v>
      </c>
      <c r="O37" s="34">
        <f t="shared" si="6"/>
        <v>8265.4</v>
      </c>
      <c r="P37" s="34"/>
      <c r="Q37" s="32" t="s">
        <v>3</v>
      </c>
      <c r="R37" s="31" t="s">
        <v>6</v>
      </c>
      <c r="S37" s="30" t="s">
        <v>7</v>
      </c>
    </row>
    <row r="38" spans="1:19" ht="34.5" customHeight="1">
      <c r="A38" s="56">
        <f t="shared" si="3"/>
        <v>34</v>
      </c>
      <c r="B38" s="36" t="str">
        <f>'[1]реагенти (2)'!$C$35</f>
        <v>Моноклональне антитіло CD8,мічене флюоресцентним барвником PE-Cy5, або еквівалент</v>
      </c>
      <c r="C38" s="36" t="s">
        <v>4</v>
      </c>
      <c r="D38" s="58">
        <v>100</v>
      </c>
      <c r="E38" s="55">
        <v>2</v>
      </c>
      <c r="F38" s="57">
        <f t="shared" si="4"/>
        <v>11013.689278400001</v>
      </c>
      <c r="G38" s="57">
        <f t="shared" si="5"/>
        <v>2202.7907216000003</v>
      </c>
      <c r="H38" s="57">
        <f t="shared" si="9"/>
        <v>13216.480000000001</v>
      </c>
      <c r="I38" s="57">
        <f>'[1]реагенти (2)'!$K$35</f>
        <v>26432.960000000003</v>
      </c>
      <c r="J38" s="57">
        <f>H38/1.2</f>
        <v>11013.733333333335</v>
      </c>
      <c r="K38" s="57">
        <f t="shared" si="1"/>
        <v>2202.746666666666</v>
      </c>
      <c r="L38" s="57">
        <v>13216.48</v>
      </c>
      <c r="M38" s="53">
        <f t="shared" si="7"/>
        <v>34</v>
      </c>
      <c r="N38" s="49">
        <f t="shared" si="2"/>
        <v>26432.959999999999</v>
      </c>
      <c r="O38" s="34">
        <f t="shared" si="6"/>
        <v>13216.48</v>
      </c>
      <c r="P38" s="34"/>
      <c r="Q38" s="32" t="s">
        <v>3</v>
      </c>
      <c r="R38" s="31" t="s">
        <v>2</v>
      </c>
      <c r="S38" s="30" t="s">
        <v>7</v>
      </c>
    </row>
    <row r="39" spans="1:19" ht="26.25" customHeight="1">
      <c r="A39" s="56">
        <f t="shared" si="3"/>
        <v>35</v>
      </c>
      <c r="B39" s="36" t="str">
        <f>'[1]реагенти (2)'!$C$36</f>
        <v>Monoclonal Antibody to CD11b, Fluorochrome PE, or equivalent </v>
      </c>
      <c r="C39" s="36" t="s">
        <v>4</v>
      </c>
      <c r="D39" s="58">
        <v>100</v>
      </c>
      <c r="E39" s="55">
        <v>2</v>
      </c>
      <c r="F39" s="57">
        <f t="shared" si="4"/>
        <v>9389.6291079999992</v>
      </c>
      <c r="G39" s="57">
        <f t="shared" si="5"/>
        <v>1877.9708919999998</v>
      </c>
      <c r="H39" s="57">
        <f t="shared" si="9"/>
        <v>11267.599999999999</v>
      </c>
      <c r="I39" s="57">
        <f>'[1]реагенти (2)'!$K$36</f>
        <v>22535.199999999997</v>
      </c>
      <c r="J39" s="57">
        <f>H39/1.2</f>
        <v>9389.6666666666661</v>
      </c>
      <c r="K39" s="57">
        <f t="shared" si="1"/>
        <v>1877.9333333333325</v>
      </c>
      <c r="L39" s="57">
        <v>11267.6</v>
      </c>
      <c r="M39" s="53">
        <f t="shared" si="7"/>
        <v>35</v>
      </c>
      <c r="N39" s="49">
        <f t="shared" si="2"/>
        <v>22535.200000000001</v>
      </c>
      <c r="O39" s="34">
        <f t="shared" si="6"/>
        <v>11267.599999999999</v>
      </c>
      <c r="P39" s="34"/>
      <c r="Q39" s="32" t="s">
        <v>3</v>
      </c>
      <c r="R39" s="31" t="s">
        <v>2</v>
      </c>
      <c r="S39" s="30" t="s">
        <v>7</v>
      </c>
    </row>
    <row r="40" spans="1:19" ht="26.25" customHeight="1">
      <c r="A40" s="56">
        <f t="shared" si="3"/>
        <v>36</v>
      </c>
      <c r="B40" s="36" t="str">
        <f>'[1]реагенти (2)'!$C$37</f>
        <v>Monoclonal Antibody to CD14, APC-Cy7</v>
      </c>
      <c r="C40" s="36" t="s">
        <v>4</v>
      </c>
      <c r="D40" s="58">
        <v>100</v>
      </c>
      <c r="E40" s="55">
        <v>2</v>
      </c>
      <c r="F40" s="57">
        <f t="shared" si="4"/>
        <v>9880.9271427999993</v>
      </c>
      <c r="G40" s="57">
        <f t="shared" si="5"/>
        <v>1976.2328572000001</v>
      </c>
      <c r="H40" s="57">
        <f t="shared" si="9"/>
        <v>11857.16</v>
      </c>
      <c r="I40" s="57">
        <f>'[1]реагенти (2)'!$K$37</f>
        <v>23714.32</v>
      </c>
      <c r="J40" s="57">
        <f>H40/1.2</f>
        <v>9880.9666666666672</v>
      </c>
      <c r="K40" s="57">
        <f t="shared" si="1"/>
        <v>1976.1933333333327</v>
      </c>
      <c r="L40" s="57">
        <v>11857</v>
      </c>
      <c r="M40" s="53">
        <f t="shared" si="7"/>
        <v>36</v>
      </c>
      <c r="N40" s="49">
        <f t="shared" si="2"/>
        <v>23714</v>
      </c>
      <c r="O40" s="34">
        <f t="shared" si="6"/>
        <v>11857.08</v>
      </c>
      <c r="P40" s="34"/>
      <c r="Q40" s="32" t="s">
        <v>3</v>
      </c>
      <c r="R40" s="31" t="s">
        <v>2</v>
      </c>
      <c r="S40" s="30" t="s">
        <v>7</v>
      </c>
    </row>
    <row r="41" spans="1:19" ht="26.25" customHeight="1">
      <c r="A41" s="56">
        <f t="shared" si="3"/>
        <v>37</v>
      </c>
      <c r="B41" s="36" t="str">
        <f>'[1]реагенти (2)'!$C$38</f>
        <v>Monoclonal Antibody to CD90, Fluorochrome FITC</v>
      </c>
      <c r="C41" s="36" t="s">
        <v>8</v>
      </c>
      <c r="D41" s="58" t="s">
        <v>46</v>
      </c>
      <c r="E41" s="55">
        <v>3</v>
      </c>
      <c r="F41" s="57">
        <f t="shared" si="4"/>
        <v>10279.008883800001</v>
      </c>
      <c r="G41" s="57">
        <f t="shared" si="5"/>
        <v>2055.8511162000004</v>
      </c>
      <c r="H41" s="57">
        <f t="shared" si="9"/>
        <v>12334.86</v>
      </c>
      <c r="I41" s="57">
        <f>'[1]реагенти (2)'!$K$38</f>
        <v>37004.58</v>
      </c>
      <c r="J41" s="57">
        <f>H41/1.2</f>
        <v>10279.050000000001</v>
      </c>
      <c r="K41" s="57">
        <f t="shared" si="1"/>
        <v>2055.8099999999995</v>
      </c>
      <c r="L41" s="57">
        <v>11857.16</v>
      </c>
      <c r="M41" s="53">
        <f t="shared" si="7"/>
        <v>37</v>
      </c>
      <c r="N41" s="49">
        <f t="shared" si="2"/>
        <v>35571.479999999996</v>
      </c>
      <c r="O41" s="34">
        <f t="shared" si="6"/>
        <v>12096.01</v>
      </c>
      <c r="P41" s="34"/>
      <c r="Q41" s="32" t="s">
        <v>3</v>
      </c>
      <c r="R41" s="31" t="s">
        <v>2</v>
      </c>
      <c r="S41" s="30" t="s">
        <v>7</v>
      </c>
    </row>
    <row r="42" spans="1:19" ht="26.25" customHeight="1">
      <c r="A42" s="56">
        <f t="shared" si="3"/>
        <v>38</v>
      </c>
      <c r="B42" s="36" t="str">
        <f>'[1]реагенти (2)'!$C$40</f>
        <v>Моноклональне антитіло   CD105, мічене флюоресцентним барвником PerCP-Cy5,5</v>
      </c>
      <c r="C42" s="36" t="s">
        <v>4</v>
      </c>
      <c r="D42" s="58">
        <v>100</v>
      </c>
      <c r="E42" s="55">
        <v>3</v>
      </c>
      <c r="F42" s="57">
        <f t="shared" si="4"/>
        <v>10858.706565</v>
      </c>
      <c r="G42" s="57">
        <f t="shared" si="5"/>
        <v>2171.793435</v>
      </c>
      <c r="H42" s="57">
        <f t="shared" si="9"/>
        <v>13030.5</v>
      </c>
      <c r="I42" s="57">
        <f>'[1]реагенти (2)'!$K$40</f>
        <v>39091.5</v>
      </c>
      <c r="J42" s="57">
        <f>H42/1.2</f>
        <v>10858.75</v>
      </c>
      <c r="K42" s="57">
        <f t="shared" si="1"/>
        <v>2171.75</v>
      </c>
      <c r="L42" s="57">
        <v>13030.5</v>
      </c>
      <c r="M42" s="53">
        <f t="shared" si="7"/>
        <v>38</v>
      </c>
      <c r="N42" s="49">
        <f t="shared" si="2"/>
        <v>39091.5</v>
      </c>
      <c r="O42" s="34">
        <f t="shared" si="6"/>
        <v>13030.5</v>
      </c>
      <c r="P42" s="34"/>
      <c r="Q42" s="32" t="s">
        <v>3</v>
      </c>
      <c r="R42" s="31" t="s">
        <v>2</v>
      </c>
      <c r="S42" s="30" t="s">
        <v>7</v>
      </c>
    </row>
    <row r="43" spans="1:19" ht="26.25" customHeight="1">
      <c r="A43" s="56">
        <f t="shared" si="3"/>
        <v>39</v>
      </c>
      <c r="B43" s="36" t="str">
        <f>'[1]реагенти (2)'!$C$41</f>
        <v>Monoclonal Antibody to HLA-DR, Fluorochrome PE</v>
      </c>
      <c r="C43" s="36" t="s">
        <v>4</v>
      </c>
      <c r="D43" s="58">
        <v>100</v>
      </c>
      <c r="E43" s="55">
        <v>2</v>
      </c>
      <c r="F43" s="57">
        <f t="shared" si="4"/>
        <v>12660.9826892</v>
      </c>
      <c r="G43" s="57">
        <f t="shared" si="5"/>
        <v>2532.2573108000001</v>
      </c>
      <c r="H43" s="57">
        <f t="shared" si="9"/>
        <v>15193.24</v>
      </c>
      <c r="I43" s="57">
        <f>'[1]реагенти (2)'!$G$41</f>
        <v>30386.48</v>
      </c>
      <c r="J43" s="57">
        <f>H43/1.07</f>
        <v>14199.289719626167</v>
      </c>
      <c r="K43" s="57">
        <f t="shared" si="1"/>
        <v>993.95028037383236</v>
      </c>
      <c r="L43" s="57">
        <v>15193.24</v>
      </c>
      <c r="M43" s="53">
        <f t="shared" si="7"/>
        <v>39</v>
      </c>
      <c r="N43" s="49">
        <f t="shared" si="2"/>
        <v>30386.48</v>
      </c>
      <c r="O43" s="34">
        <f t="shared" si="6"/>
        <v>15193.24</v>
      </c>
      <c r="P43" s="34"/>
      <c r="Q43" s="32" t="s">
        <v>3</v>
      </c>
      <c r="R43" s="31" t="s">
        <v>6</v>
      </c>
      <c r="S43" s="30" t="s">
        <v>7</v>
      </c>
    </row>
    <row r="44" spans="1:19" ht="26.25" customHeight="1">
      <c r="A44" s="56">
        <f t="shared" si="3"/>
        <v>40</v>
      </c>
      <c r="B44" s="36" t="str">
        <f>'[1]реагенти (2)'!$C$42</f>
        <v>Monoclonal Antibody to HLA-DR, Fluorochrome PE-Cy5,5</v>
      </c>
      <c r="C44" s="36" t="s">
        <v>4</v>
      </c>
      <c r="D44" s="58">
        <v>100</v>
      </c>
      <c r="E44" s="55">
        <v>2</v>
      </c>
      <c r="F44" s="57">
        <f t="shared" si="4"/>
        <v>11187.0885848</v>
      </c>
      <c r="G44" s="57">
        <f t="shared" si="5"/>
        <v>2237.4714152000001</v>
      </c>
      <c r="H44" s="57">
        <f t="shared" si="9"/>
        <v>13424.56</v>
      </c>
      <c r="I44" s="57">
        <f>'[1]реагенти (2)'!$K$42</f>
        <v>26849.119999999999</v>
      </c>
      <c r="J44" s="57">
        <f>H44/1.2</f>
        <v>11187.133333333333</v>
      </c>
      <c r="K44" s="57">
        <f t="shared" si="1"/>
        <v>2237.4266666666663</v>
      </c>
      <c r="L44" s="57">
        <v>13424.56</v>
      </c>
      <c r="M44" s="53">
        <f t="shared" si="7"/>
        <v>40</v>
      </c>
      <c r="N44" s="49">
        <f t="shared" si="2"/>
        <v>26849.119999999999</v>
      </c>
      <c r="O44" s="34">
        <f t="shared" si="6"/>
        <v>13424.56</v>
      </c>
      <c r="P44" s="34"/>
      <c r="Q44" s="32" t="s">
        <v>3</v>
      </c>
      <c r="R44" s="31" t="s">
        <v>2</v>
      </c>
      <c r="S44" s="30" t="s">
        <v>7</v>
      </c>
    </row>
    <row r="45" spans="1:19" ht="26.25" customHeight="1">
      <c r="A45" s="56">
        <f t="shared" si="3"/>
        <v>41</v>
      </c>
      <c r="B45" s="36" t="str">
        <f>'[1]реагенти (2)'!$C$43</f>
        <v>Моноклональне антитіло CD106, мічене флюоресцентним барвником PE-CF594, або еквівалент PE-Cy5</v>
      </c>
      <c r="C45" s="36" t="s">
        <v>4</v>
      </c>
      <c r="D45" s="58">
        <v>100</v>
      </c>
      <c r="E45" s="55">
        <v>3</v>
      </c>
      <c r="F45" s="57">
        <f t="shared" si="4"/>
        <v>14159.810027199999</v>
      </c>
      <c r="G45" s="57">
        <f t="shared" si="5"/>
        <v>2832.0299728000005</v>
      </c>
      <c r="H45" s="57">
        <f t="shared" si="9"/>
        <v>16991.84</v>
      </c>
      <c r="I45" s="57">
        <f>'[1]реагенти (2)'!$K$43</f>
        <v>50975.520000000004</v>
      </c>
      <c r="J45" s="57">
        <f>H45/1.2</f>
        <v>14159.866666666667</v>
      </c>
      <c r="K45" s="57">
        <f t="shared" si="1"/>
        <v>2831.9733333333334</v>
      </c>
      <c r="L45" s="57">
        <v>16991.84</v>
      </c>
      <c r="M45" s="53">
        <f t="shared" si="7"/>
        <v>41</v>
      </c>
      <c r="N45" s="49">
        <f t="shared" si="2"/>
        <v>50975.520000000004</v>
      </c>
      <c r="O45" s="34">
        <f t="shared" si="6"/>
        <v>16991.84</v>
      </c>
      <c r="P45" s="34"/>
      <c r="Q45" s="32" t="s">
        <v>3</v>
      </c>
      <c r="R45" s="31" t="s">
        <v>2</v>
      </c>
      <c r="S45" s="30" t="s">
        <v>7</v>
      </c>
    </row>
    <row r="46" spans="1:19" ht="35.25" customHeight="1">
      <c r="A46" s="56">
        <f t="shared" si="3"/>
        <v>42</v>
      </c>
      <c r="B46" s="36" t="str">
        <f>'[1]реагенти (2)'!$C$44</f>
        <v>Моноклональне антитіло CD133, мічене флюоресцентним барвником APC-Alexa Fluor 750, або APC-H7, або еквівалент APC</v>
      </c>
      <c r="C46" s="36" t="s">
        <v>8</v>
      </c>
      <c r="D46" s="58" t="s">
        <v>46</v>
      </c>
      <c r="E46" s="55">
        <v>3</v>
      </c>
      <c r="F46" s="57">
        <f t="shared" si="4"/>
        <v>12050.118466000002</v>
      </c>
      <c r="G46" s="57">
        <f t="shared" si="5"/>
        <v>2410.0815340000008</v>
      </c>
      <c r="H46" s="57">
        <f t="shared" si="9"/>
        <v>14460.200000000003</v>
      </c>
      <c r="I46" s="57">
        <f>'[1]реагенти (2)'!$K$44</f>
        <v>43380.600000000006</v>
      </c>
      <c r="J46" s="57">
        <f>H46/1.2</f>
        <v>12050.16666666667</v>
      </c>
      <c r="K46" s="57">
        <f t="shared" si="1"/>
        <v>2410.0333333333328</v>
      </c>
      <c r="L46" s="57">
        <v>14460.2</v>
      </c>
      <c r="M46" s="53">
        <f t="shared" si="7"/>
        <v>42</v>
      </c>
      <c r="N46" s="49">
        <f t="shared" si="2"/>
        <v>43380.600000000006</v>
      </c>
      <c r="O46" s="34">
        <f t="shared" si="6"/>
        <v>14460.2</v>
      </c>
      <c r="P46" s="34"/>
      <c r="Q46" s="32" t="s">
        <v>3</v>
      </c>
      <c r="R46" s="31" t="s">
        <v>2</v>
      </c>
      <c r="S46" s="30" t="s">
        <v>7</v>
      </c>
    </row>
    <row r="47" spans="1:19" ht="36" customHeight="1">
      <c r="A47" s="56">
        <f t="shared" si="3"/>
        <v>43</v>
      </c>
      <c r="B47" s="62" t="str">
        <f>'[1]реагенти (2)'!$C$45</f>
        <v>Моноклональне антитіло EpCam, мічене флюоресцентним барвником PE-Cy7 або еквівалент PerCP-Cy5.5</v>
      </c>
      <c r="C47" s="36" t="s">
        <v>4</v>
      </c>
      <c r="D47" s="58">
        <v>50</v>
      </c>
      <c r="E47" s="55">
        <v>2</v>
      </c>
      <c r="F47" s="57">
        <f t="shared" si="4"/>
        <v>15045.506484400001</v>
      </c>
      <c r="G47" s="57">
        <f t="shared" si="5"/>
        <v>3009.1735156000004</v>
      </c>
      <c r="H47" s="57">
        <f t="shared" si="9"/>
        <v>18054.68</v>
      </c>
      <c r="I47" s="57">
        <f>'[1]реагенти (2)'!$K$45</f>
        <v>36109.360000000001</v>
      </c>
      <c r="J47" s="57">
        <f>H47/1.2</f>
        <v>15045.566666666668</v>
      </c>
      <c r="K47" s="57">
        <f t="shared" si="1"/>
        <v>3009.1133333333328</v>
      </c>
      <c r="L47" s="57">
        <v>18054.68</v>
      </c>
      <c r="M47" s="53">
        <f t="shared" si="7"/>
        <v>43</v>
      </c>
      <c r="N47" s="49">
        <f t="shared" si="2"/>
        <v>36109.360000000001</v>
      </c>
      <c r="O47" s="34">
        <f t="shared" si="6"/>
        <v>18054.68</v>
      </c>
      <c r="P47" s="34"/>
      <c r="Q47" s="32" t="s">
        <v>3</v>
      </c>
      <c r="R47" s="31" t="s">
        <v>2</v>
      </c>
      <c r="S47" s="30" t="s">
        <v>7</v>
      </c>
    </row>
    <row r="48" spans="1:19" ht="26.25" customHeight="1">
      <c r="A48" s="56">
        <f t="shared" si="3"/>
        <v>44</v>
      </c>
      <c r="B48" s="36" t="str">
        <f>'[1]реагенти (2)'!$C$46</f>
        <v>PE-CF594 Mouse Anti-Human CD326 (EpCam)</v>
      </c>
      <c r="C48" s="36" t="s">
        <v>4</v>
      </c>
      <c r="D48" s="58">
        <v>50</v>
      </c>
      <c r="E48" s="55">
        <v>2</v>
      </c>
      <c r="F48" s="57">
        <f t="shared" si="4"/>
        <v>8886.7144529999987</v>
      </c>
      <c r="G48" s="57">
        <f t="shared" si="5"/>
        <v>1777.3855469999999</v>
      </c>
      <c r="H48" s="57">
        <f t="shared" si="9"/>
        <v>10664.099999999999</v>
      </c>
      <c r="I48" s="57">
        <f>'[1]реагенти (2)'!$K$46</f>
        <v>21328.199999999997</v>
      </c>
      <c r="J48" s="57">
        <f>H48/1.2</f>
        <v>8886.75</v>
      </c>
      <c r="K48" s="57">
        <f t="shared" si="1"/>
        <v>1777.3499999999985</v>
      </c>
      <c r="L48" s="57">
        <v>10664.1</v>
      </c>
      <c r="M48" s="53">
        <f t="shared" si="7"/>
        <v>44</v>
      </c>
      <c r="N48" s="49">
        <f t="shared" si="2"/>
        <v>21328.2</v>
      </c>
      <c r="O48" s="34">
        <f t="shared" si="6"/>
        <v>10664.099999999999</v>
      </c>
      <c r="P48" s="34"/>
      <c r="Q48" s="32" t="s">
        <v>3</v>
      </c>
      <c r="R48" s="31" t="s">
        <v>2</v>
      </c>
      <c r="S48" s="30" t="s">
        <v>7</v>
      </c>
    </row>
    <row r="49" spans="1:19" ht="24">
      <c r="A49" s="56">
        <f t="shared" si="3"/>
        <v>45</v>
      </c>
      <c r="B49" s="36" t="str">
        <f>'[1]реагенти (2)'!$C$47</f>
        <v>BD CS&amp;T Research Beads, 655051</v>
      </c>
      <c r="C49" s="36" t="s">
        <v>4</v>
      </c>
      <c r="D49" s="63">
        <v>150</v>
      </c>
      <c r="E49" s="63">
        <v>3</v>
      </c>
      <c r="F49" s="57">
        <f t="shared" si="4"/>
        <v>11024.7392342</v>
      </c>
      <c r="G49" s="57">
        <f t="shared" si="5"/>
        <v>2205.0007658</v>
      </c>
      <c r="H49" s="57">
        <v>13229.74</v>
      </c>
      <c r="I49" s="64">
        <f>'[1]реагенти (2)'!$K$47</f>
        <v>66148.7</v>
      </c>
      <c r="J49" s="57">
        <f>H49/1.07</f>
        <v>12364.242990654204</v>
      </c>
      <c r="K49" s="57">
        <f t="shared" si="1"/>
        <v>865.49700934579596</v>
      </c>
      <c r="L49" s="57">
        <v>13229.74</v>
      </c>
      <c r="M49" s="53">
        <f t="shared" si="7"/>
        <v>45</v>
      </c>
      <c r="N49" s="49">
        <f t="shared" si="2"/>
        <v>39689.22</v>
      </c>
      <c r="O49" s="34">
        <f t="shared" si="6"/>
        <v>13229.74</v>
      </c>
      <c r="P49" s="33"/>
      <c r="Q49" s="32" t="s">
        <v>3</v>
      </c>
      <c r="R49" s="31" t="s">
        <v>6</v>
      </c>
      <c r="S49" s="30" t="s">
        <v>5</v>
      </c>
    </row>
    <row r="50" spans="1:19" ht="26.25" customHeight="1">
      <c r="A50" s="65">
        <f t="shared" si="3"/>
        <v>46</v>
      </c>
      <c r="B50" s="36" t="str">
        <f>'[1]реагенти (2)'!$C$48</f>
        <v>BD Accudrop Beads, 661612</v>
      </c>
      <c r="C50" s="36" t="s">
        <v>4</v>
      </c>
      <c r="D50" s="63">
        <v>25</v>
      </c>
      <c r="E50" s="63">
        <v>3</v>
      </c>
      <c r="F50" s="57">
        <f t="shared" si="4"/>
        <v>9606.3782410000003</v>
      </c>
      <c r="G50" s="57">
        <f t="shared" si="5"/>
        <v>1921.3217590000002</v>
      </c>
      <c r="H50" s="57">
        <v>11527.7</v>
      </c>
      <c r="I50" s="64">
        <f>'[1]реагенти (2)'!$K$48</f>
        <v>57638.5</v>
      </c>
      <c r="J50" s="57">
        <f>H50/1.2</f>
        <v>9606.4166666666679</v>
      </c>
      <c r="K50" s="57">
        <f t="shared" si="1"/>
        <v>1921.2833333333328</v>
      </c>
      <c r="L50" s="57">
        <v>11527.7</v>
      </c>
      <c r="M50" s="53">
        <f t="shared" si="7"/>
        <v>46</v>
      </c>
      <c r="N50" s="49">
        <f t="shared" si="2"/>
        <v>34583.100000000006</v>
      </c>
      <c r="O50" s="34">
        <f t="shared" si="6"/>
        <v>11527.7</v>
      </c>
      <c r="P50" s="33"/>
      <c r="Q50" s="32" t="s">
        <v>3</v>
      </c>
      <c r="R50" s="31" t="s">
        <v>2</v>
      </c>
      <c r="S50" s="30" t="s">
        <v>1</v>
      </c>
    </row>
    <row r="51" spans="1:19" ht="26.25" customHeight="1" thickBot="1">
      <c r="A51" s="29"/>
      <c r="B51" s="28" t="s">
        <v>0</v>
      </c>
      <c r="C51" s="27"/>
      <c r="D51" s="26"/>
      <c r="E51" s="26"/>
      <c r="F51" s="23"/>
      <c r="G51" s="23"/>
      <c r="H51" s="25"/>
      <c r="I51" s="51">
        <f>SUM(I5:I50)</f>
        <v>1895859.6660000002</v>
      </c>
      <c r="J51" s="24"/>
      <c r="K51" s="24"/>
      <c r="L51" s="24"/>
      <c r="M51" s="24"/>
      <c r="N51" s="50">
        <f>SUM(N5:N50)</f>
        <v>1665586.8700000006</v>
      </c>
      <c r="O51" s="24"/>
      <c r="P51" s="23"/>
      <c r="Q51" s="22"/>
      <c r="R51" s="21"/>
      <c r="S51" s="20"/>
    </row>
    <row r="52" spans="1:19" ht="32.25" customHeight="1" thickTop="1" thickBot="1">
      <c r="A52" s="10"/>
      <c r="C52" s="8"/>
      <c r="D52" s="8"/>
      <c r="E52" s="8"/>
      <c r="F52" s="17"/>
      <c r="G52" s="16"/>
      <c r="H52" s="16"/>
      <c r="I52" s="16"/>
      <c r="J52" s="6"/>
      <c r="K52" s="6"/>
      <c r="L52" s="6"/>
      <c r="M52" s="6"/>
      <c r="N52" s="6"/>
      <c r="O52" s="6"/>
      <c r="P52" s="15"/>
      <c r="Q52" s="10"/>
      <c r="R52" s="10"/>
      <c r="S52" s="9"/>
    </row>
    <row r="53" spans="1:19" ht="32.25" customHeight="1" thickTop="1" thickBot="1">
      <c r="A53" s="12"/>
      <c r="B53" s="8"/>
      <c r="C53" s="18"/>
      <c r="D53" s="18"/>
      <c r="E53" s="18"/>
      <c r="F53" s="18"/>
      <c r="G53" s="19"/>
      <c r="H53" s="19"/>
      <c r="I53" s="19"/>
      <c r="J53" s="67"/>
      <c r="K53" s="67"/>
      <c r="L53" s="67"/>
      <c r="M53" s="67"/>
      <c r="N53" s="67"/>
      <c r="O53" s="67"/>
      <c r="P53" s="15"/>
      <c r="Q53" s="10"/>
      <c r="R53" s="10"/>
      <c r="S53" s="9"/>
    </row>
    <row r="54" spans="1:19" ht="32.25" customHeight="1" thickTop="1" thickBot="1">
      <c r="A54" s="12"/>
      <c r="B54" s="18"/>
      <c r="C54" s="8"/>
      <c r="D54" s="8"/>
      <c r="E54" s="8"/>
      <c r="F54" s="17"/>
      <c r="G54" s="16"/>
      <c r="H54" s="16"/>
      <c r="I54" s="16"/>
      <c r="J54" s="67"/>
      <c r="K54" s="67"/>
      <c r="L54" s="67"/>
      <c r="M54" s="67"/>
      <c r="N54" s="67"/>
      <c r="O54" s="67"/>
      <c r="P54" s="15"/>
      <c r="Q54" s="10"/>
      <c r="R54" s="10"/>
      <c r="S54" s="9"/>
    </row>
    <row r="55" spans="1:19" ht="29.25" customHeight="1" thickTop="1" thickBot="1">
      <c r="A55" s="12"/>
      <c r="B55" s="8"/>
      <c r="C55" s="8"/>
      <c r="D55" s="8"/>
      <c r="E55" s="8"/>
      <c r="F55" s="17"/>
      <c r="G55" s="16"/>
      <c r="H55" s="16"/>
      <c r="I55" s="16"/>
      <c r="J55" s="69"/>
      <c r="K55" s="69"/>
      <c r="L55" s="69"/>
      <c r="M55" s="69"/>
      <c r="N55" s="69"/>
      <c r="O55" s="69"/>
      <c r="P55" s="15"/>
      <c r="Q55" s="10"/>
      <c r="R55" s="10"/>
      <c r="S55" s="9"/>
    </row>
    <row r="56" spans="1:19" ht="30.75" customHeight="1" thickTop="1" thickBot="1">
      <c r="A56" s="12"/>
      <c r="B56" s="8"/>
      <c r="C56" s="8"/>
      <c r="D56" s="8"/>
      <c r="E56" s="8"/>
      <c r="F56" s="17"/>
      <c r="G56" s="16"/>
      <c r="H56" s="16"/>
      <c r="I56" s="16"/>
      <c r="J56" s="69"/>
      <c r="K56" s="69"/>
      <c r="L56" s="69"/>
      <c r="M56" s="69"/>
      <c r="N56" s="69"/>
      <c r="O56" s="69"/>
      <c r="P56" s="15"/>
      <c r="Q56" s="10"/>
      <c r="R56" s="10"/>
      <c r="S56" s="9"/>
    </row>
    <row r="57" spans="1:19" ht="30.75" customHeight="1" thickTop="1" thickBot="1">
      <c r="A57" s="12"/>
      <c r="B57" s="8"/>
      <c r="C57" s="8"/>
      <c r="D57" s="8"/>
      <c r="E57" s="8"/>
      <c r="F57" s="17"/>
      <c r="G57" s="16"/>
      <c r="H57" s="16"/>
      <c r="I57" s="16"/>
      <c r="J57" s="69"/>
      <c r="K57" s="69"/>
      <c r="L57" s="69"/>
      <c r="M57" s="69"/>
      <c r="N57" s="69"/>
      <c r="O57" s="69"/>
      <c r="P57" s="15"/>
      <c r="Q57" s="10"/>
      <c r="R57" s="10"/>
      <c r="S57" s="9"/>
    </row>
    <row r="58" spans="1:19" ht="30.75" customHeight="1" thickTop="1" thickBot="1">
      <c r="A58" s="12"/>
      <c r="B58" s="8"/>
      <c r="C58" s="8"/>
      <c r="D58" s="8"/>
      <c r="E58" s="8"/>
      <c r="F58" s="17"/>
      <c r="G58" s="16"/>
      <c r="H58" s="16"/>
      <c r="I58" s="16"/>
      <c r="J58" s="69"/>
      <c r="K58" s="69"/>
      <c r="L58" s="69"/>
      <c r="M58" s="69"/>
      <c r="N58" s="69"/>
      <c r="O58" s="69"/>
      <c r="P58" s="15"/>
      <c r="Q58" s="10"/>
      <c r="R58" s="10"/>
      <c r="S58" s="9"/>
    </row>
    <row r="59" spans="1:19" ht="25.5" customHeight="1" thickTop="1" thickBot="1">
      <c r="A59" s="12"/>
      <c r="B59" s="8"/>
      <c r="C59" s="8"/>
      <c r="D59" s="8"/>
      <c r="E59" s="8"/>
      <c r="F59" s="17"/>
      <c r="G59" s="16"/>
      <c r="H59" s="16"/>
      <c r="I59" s="16"/>
      <c r="J59" s="69"/>
      <c r="K59" s="69"/>
      <c r="L59" s="69"/>
      <c r="M59" s="69"/>
      <c r="N59" s="69"/>
      <c r="O59" s="69"/>
      <c r="P59" s="15"/>
      <c r="Q59" s="10"/>
      <c r="R59" s="10"/>
      <c r="S59" s="9"/>
    </row>
    <row r="60" spans="1:19" ht="30" customHeight="1" thickTop="1" thickBot="1">
      <c r="A60" s="12"/>
      <c r="B60" s="8"/>
      <c r="C60" s="8"/>
      <c r="D60" s="8"/>
      <c r="E60" s="8"/>
      <c r="F60" s="17"/>
      <c r="G60" s="16"/>
      <c r="H60" s="16"/>
      <c r="I60" s="16"/>
      <c r="J60" s="69"/>
      <c r="K60" s="69"/>
      <c r="L60" s="69"/>
      <c r="M60" s="69"/>
      <c r="N60" s="69"/>
      <c r="O60" s="69"/>
      <c r="P60" s="15"/>
      <c r="Q60" s="10"/>
      <c r="R60" s="10"/>
      <c r="S60" s="9"/>
    </row>
    <row r="61" spans="1:19" ht="23.25" customHeight="1" thickTop="1" thickBot="1">
      <c r="A61" s="12"/>
      <c r="B61" s="8"/>
      <c r="C61" s="8"/>
      <c r="D61" s="8"/>
      <c r="E61" s="8"/>
      <c r="F61" s="8"/>
      <c r="G61" s="14"/>
      <c r="H61" s="14"/>
      <c r="I61" s="14"/>
      <c r="J61" s="69"/>
      <c r="K61" s="69"/>
      <c r="L61" s="69"/>
      <c r="M61" s="69"/>
      <c r="N61" s="69"/>
      <c r="O61" s="69"/>
      <c r="P61" s="13"/>
      <c r="Q61" s="10"/>
      <c r="R61" s="10"/>
      <c r="S61" s="9"/>
    </row>
    <row r="62" spans="1:19" ht="22.5" customHeight="1" thickTop="1" thickBot="1">
      <c r="A62" s="12"/>
      <c r="B62" s="8"/>
      <c r="C62" s="8"/>
      <c r="D62" s="8"/>
      <c r="E62" s="8"/>
      <c r="F62" s="8"/>
      <c r="G62" s="8"/>
      <c r="H62" s="11"/>
      <c r="I62" s="11"/>
      <c r="J62" s="70"/>
      <c r="K62" s="70"/>
      <c r="L62" s="70"/>
      <c r="M62" s="70"/>
      <c r="N62" s="70"/>
      <c r="O62" s="70"/>
      <c r="P62" s="6"/>
      <c r="Q62" s="10"/>
      <c r="R62" s="10"/>
      <c r="S62" s="9"/>
    </row>
    <row r="63" spans="1:19" ht="27.75" customHeight="1" thickTop="1" thickBot="1">
      <c r="A63" s="4"/>
      <c r="B63" s="8"/>
      <c r="C63" s="6"/>
      <c r="D63" s="6"/>
      <c r="E63" s="7"/>
      <c r="F63" s="6"/>
      <c r="G63" s="6"/>
      <c r="H63" s="5"/>
      <c r="I63" s="6"/>
      <c r="J63" s="68"/>
      <c r="K63" s="68"/>
      <c r="L63" s="68"/>
      <c r="M63" s="68"/>
      <c r="N63" s="68"/>
      <c r="O63" s="68"/>
      <c r="Q63" s="4"/>
      <c r="R63" s="4"/>
      <c r="S63" s="3"/>
    </row>
    <row r="64" spans="1:19" ht="15" thickTop="1"/>
    <row r="68" spans="5:19">
      <c r="E68"/>
      <c r="S68"/>
    </row>
    <row r="69" spans="5:19">
      <c r="E69"/>
      <c r="S69"/>
    </row>
    <row r="70" spans="5:19">
      <c r="E70"/>
      <c r="S70"/>
    </row>
    <row r="71" spans="5:19">
      <c r="E71"/>
      <c r="S71"/>
    </row>
    <row r="72" spans="5:19">
      <c r="E72"/>
      <c r="S72"/>
    </row>
    <row r="73" spans="5:19">
      <c r="E73"/>
      <c r="S73"/>
    </row>
    <row r="74" spans="5:19">
      <c r="E74"/>
      <c r="S74"/>
    </row>
  </sheetData>
  <mergeCells count="13">
    <mergeCell ref="B2:L2"/>
    <mergeCell ref="M2:S2"/>
    <mergeCell ref="J53:O53"/>
    <mergeCell ref="J54:O54"/>
    <mergeCell ref="J63:O63"/>
    <mergeCell ref="J55:O55"/>
    <mergeCell ref="J56:O56"/>
    <mergeCell ref="J57:O57"/>
    <mergeCell ref="J58:O58"/>
    <mergeCell ref="J62:O62"/>
    <mergeCell ref="J59:O59"/>
    <mergeCell ref="J60:O60"/>
    <mergeCell ref="J61:O61"/>
  </mergeCells>
  <pageMargins left="0.16" right="0.25" top="0.35" bottom="0.28999999999999998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ЛКС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</cp:lastModifiedBy>
  <cp:lastPrinted>2021-06-08T10:35:24Z</cp:lastPrinted>
  <dcterms:created xsi:type="dcterms:W3CDTF">2021-06-01T10:49:55Z</dcterms:created>
  <dcterms:modified xsi:type="dcterms:W3CDTF">2021-06-24T11:07:13Z</dcterms:modified>
</cp:coreProperties>
</file>